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esktop\Daily report send\"/>
    </mc:Choice>
  </mc:AlternateContent>
  <xr:revisionPtr revIDLastSave="0" documentId="13_ncr:1_{C8F8FF4A-E738-4859-830F-0B349FB6A72B}" xr6:coauthVersionLast="47" xr6:coauthVersionMax="47" xr10:uidLastSave="{00000000-0000-0000-0000-000000000000}"/>
  <bookViews>
    <workbookView xWindow="-120" yWindow="-120" windowWidth="29040" windowHeight="1572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state="hidden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state="hidden" r:id="rId16"/>
  </sheets>
  <definedNames>
    <definedName name="_xlnm._FilterDatabase" localSheetId="9" hidden="1">'Basic Data'!$P$1:$Y$689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128" i="20" l="1"/>
  <c r="DM128" i="20"/>
  <c r="EX128" i="20"/>
  <c r="EW128" i="20"/>
  <c r="EV128" i="20"/>
  <c r="ET128" i="20"/>
  <c r="ES128" i="20"/>
  <c r="ER128" i="20"/>
  <c r="EO128" i="20"/>
  <c r="EN128" i="20"/>
  <c r="EM128" i="20"/>
  <c r="EK128" i="20"/>
  <c r="EJ128" i="20"/>
  <c r="EI128" i="20"/>
  <c r="C130" i="27" l="1"/>
  <c r="D130" i="27"/>
  <c r="G130" i="27"/>
  <c r="H130" i="27" s="1"/>
  <c r="I130" i="27"/>
  <c r="J130" i="27"/>
  <c r="R130" i="27"/>
  <c r="S130" i="27"/>
  <c r="T130" i="27"/>
  <c r="U130" i="27" s="1"/>
  <c r="AD130" i="27"/>
  <c r="AE130" i="27"/>
  <c r="AF130" i="27"/>
  <c r="AG130" i="27"/>
  <c r="EX127" i="20"/>
  <c r="EW127" i="20"/>
  <c r="EV127" i="20"/>
  <c r="ES127" i="20"/>
  <c r="ER127" i="20"/>
  <c r="EO127" i="20"/>
  <c r="EN127" i="20"/>
  <c r="EM127" i="20"/>
  <c r="EL127" i="20"/>
  <c r="EK127" i="20"/>
  <c r="EJ127" i="20"/>
  <c r="EI127" i="20"/>
  <c r="K130" i="27" l="1"/>
  <c r="V130" i="27"/>
  <c r="AJ130" i="27" s="1"/>
  <c r="EW126" i="20"/>
  <c r="EV126" i="20"/>
  <c r="ET126" i="20"/>
  <c r="ET127" i="20"/>
  <c r="ES126" i="20"/>
  <c r="ER126" i="20"/>
  <c r="EO126" i="20"/>
  <c r="EN126" i="20"/>
  <c r="EM126" i="20"/>
  <c r="EL126" i="20"/>
  <c r="EK126" i="20"/>
  <c r="EJ126" i="20"/>
  <c r="EI126" i="20"/>
  <c r="EU128" i="20" l="1"/>
  <c r="EW125" i="20" l="1"/>
  <c r="EV125" i="20"/>
  <c r="ET125" i="20"/>
  <c r="ER125" i="20"/>
  <c r="EO125" i="20"/>
  <c r="EN125" i="20"/>
  <c r="EM125" i="20"/>
  <c r="EL125" i="20"/>
  <c r="EK125" i="20"/>
  <c r="EJ125" i="20"/>
  <c r="EI125" i="20"/>
  <c r="A109" i="20"/>
  <c r="D109" i="20" s="1"/>
  <c r="B109" i="20"/>
  <c r="C109" i="20"/>
  <c r="E109" i="20"/>
  <c r="EW124" i="20"/>
  <c r="EV124" i="20"/>
  <c r="ET124" i="20"/>
  <c r="ER124" i="20"/>
  <c r="EO124" i="20"/>
  <c r="EN124" i="20"/>
  <c r="EM124" i="20"/>
  <c r="EL124" i="20"/>
  <c r="EK124" i="20"/>
  <c r="EJ124" i="20"/>
  <c r="EI124" i="20"/>
  <c r="A110" i="20" l="1"/>
  <c r="EW123" i="20"/>
  <c r="EV123" i="20"/>
  <c r="ET123" i="20"/>
  <c r="ER123" i="20"/>
  <c r="EO123" i="20"/>
  <c r="EN123" i="20"/>
  <c r="EM123" i="20"/>
  <c r="EL123" i="20"/>
  <c r="EK123" i="20"/>
  <c r="EJ123" i="20"/>
  <c r="EI123" i="20"/>
  <c r="B110" i="20" l="1"/>
  <c r="C110" i="20"/>
  <c r="D110" i="20"/>
  <c r="A111" i="20"/>
  <c r="E110" i="20"/>
  <c r="AG120" i="27"/>
  <c r="AF120" i="27"/>
  <c r="AE120" i="27"/>
  <c r="AD120" i="27"/>
  <c r="S120" i="27"/>
  <c r="R120" i="27"/>
  <c r="T120" i="27" s="1"/>
  <c r="EU123" i="20"/>
  <c r="EU124" i="20"/>
  <c r="EU125" i="20"/>
  <c r="EU126" i="20"/>
  <c r="EU127" i="20"/>
  <c r="EW122" i="20"/>
  <c r="EV122" i="20"/>
  <c r="ET122" i="20"/>
  <c r="EU122" i="20"/>
  <c r="ER122" i="20"/>
  <c r="EO122" i="20"/>
  <c r="EN122" i="20"/>
  <c r="EM122" i="20"/>
  <c r="EL122" i="20"/>
  <c r="EK122" i="20"/>
  <c r="EJ122" i="20"/>
  <c r="EI122" i="20"/>
  <c r="C111" i="20" l="1"/>
  <c r="D111" i="20"/>
  <c r="E111" i="20"/>
  <c r="A112" i="20"/>
  <c r="B111" i="20"/>
  <c r="U120" i="27"/>
  <c r="AL120" i="27" s="1"/>
  <c r="AG119" i="27"/>
  <c r="AF119" i="27"/>
  <c r="AE119" i="27"/>
  <c r="AD119" i="27"/>
  <c r="S119" i="27"/>
  <c r="R119" i="27"/>
  <c r="T119" i="27" s="1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J121" i="20"/>
  <c r="EI121" i="20"/>
  <c r="AF129" i="27"/>
  <c r="B112" i="20" l="1"/>
  <c r="C112" i="20"/>
  <c r="E112" i="20"/>
  <c r="D112" i="20"/>
  <c r="U119" i="27"/>
  <c r="AL119" i="27" s="1"/>
  <c r="FG119" i="20"/>
  <c r="C119" i="27"/>
  <c r="D119" i="27"/>
  <c r="G119" i="27"/>
  <c r="H119" i="27" s="1"/>
  <c r="C120" i="27"/>
  <c r="D120" i="27"/>
  <c r="G120" i="27"/>
  <c r="H120" i="27" s="1"/>
  <c r="C121" i="27"/>
  <c r="D121" i="27"/>
  <c r="G121" i="27"/>
  <c r="H121" i="27" s="1"/>
  <c r="R121" i="27"/>
  <c r="T121" i="27" s="1"/>
  <c r="U121" i="27" s="1"/>
  <c r="AL121" i="27" s="1"/>
  <c r="S121" i="27"/>
  <c r="AD121" i="27"/>
  <c r="AE121" i="27"/>
  <c r="AF121" i="27"/>
  <c r="AG121" i="27"/>
  <c r="C122" i="27"/>
  <c r="D122" i="27"/>
  <c r="G122" i="27"/>
  <c r="H122" i="27" s="1"/>
  <c r="I122" i="27"/>
  <c r="J122" i="27"/>
  <c r="R122" i="27"/>
  <c r="T122" i="27" s="1"/>
  <c r="U122" i="27" s="1"/>
  <c r="AL122" i="27" s="1"/>
  <c r="S122" i="27"/>
  <c r="AD122" i="27"/>
  <c r="AE122" i="27"/>
  <c r="AF122" i="27"/>
  <c r="AG122" i="27"/>
  <c r="C123" i="27"/>
  <c r="D123" i="27"/>
  <c r="G123" i="27"/>
  <c r="H123" i="27" s="1"/>
  <c r="I123" i="27"/>
  <c r="J123" i="27"/>
  <c r="R123" i="27"/>
  <c r="T123" i="27" s="1"/>
  <c r="U123" i="27" s="1"/>
  <c r="AL123" i="27" s="1"/>
  <c r="S123" i="27"/>
  <c r="AD123" i="27"/>
  <c r="AE123" i="27"/>
  <c r="AF123" i="27"/>
  <c r="AG123" i="27"/>
  <c r="C124" i="27"/>
  <c r="D124" i="27"/>
  <c r="G124" i="27"/>
  <c r="H124" i="27" s="1"/>
  <c r="I124" i="27"/>
  <c r="J124" i="27"/>
  <c r="R124" i="27"/>
  <c r="T124" i="27" s="1"/>
  <c r="S124" i="27"/>
  <c r="AD124" i="27"/>
  <c r="AE124" i="27"/>
  <c r="AF124" i="27"/>
  <c r="AG124" i="27"/>
  <c r="C125" i="27"/>
  <c r="D125" i="27"/>
  <c r="G125" i="27"/>
  <c r="H125" i="27" s="1"/>
  <c r="I125" i="27"/>
  <c r="J125" i="27"/>
  <c r="R125" i="27"/>
  <c r="T125" i="27" s="1"/>
  <c r="S125" i="27"/>
  <c r="AD125" i="27"/>
  <c r="AE125" i="27"/>
  <c r="AF125" i="27"/>
  <c r="AG125" i="27"/>
  <c r="C126" i="27"/>
  <c r="D126" i="27"/>
  <c r="G126" i="27"/>
  <c r="H126" i="27" s="1"/>
  <c r="I126" i="27"/>
  <c r="J126" i="27"/>
  <c r="R126" i="27"/>
  <c r="T126" i="27" s="1"/>
  <c r="S126" i="27"/>
  <c r="AD126" i="27"/>
  <c r="AE126" i="27"/>
  <c r="AF126" i="27"/>
  <c r="AG126" i="27"/>
  <c r="C127" i="27"/>
  <c r="D127" i="27"/>
  <c r="G127" i="27"/>
  <c r="H127" i="27" s="1"/>
  <c r="I127" i="27"/>
  <c r="J127" i="27"/>
  <c r="R127" i="27"/>
  <c r="T127" i="27" s="1"/>
  <c r="S127" i="27"/>
  <c r="AD127" i="27"/>
  <c r="AE127" i="27"/>
  <c r="AF127" i="27"/>
  <c r="AG127" i="27"/>
  <c r="EW120" i="20"/>
  <c r="EV120" i="20"/>
  <c r="EU120" i="20"/>
  <c r="ET120" i="20"/>
  <c r="ER120" i="20"/>
  <c r="EN120" i="20"/>
  <c r="EM120" i="20"/>
  <c r="EL120" i="20"/>
  <c r="EK120" i="20"/>
  <c r="EJ120" i="20"/>
  <c r="EI120" i="20"/>
  <c r="U126" i="27" l="1"/>
  <c r="AL126" i="27" s="1"/>
  <c r="V126" i="27"/>
  <c r="AJ126" i="27" s="1"/>
  <c r="U125" i="27"/>
  <c r="AL125" i="27" s="1"/>
  <c r="V125" i="27"/>
  <c r="AJ125" i="27" s="1"/>
  <c r="U124" i="27"/>
  <c r="AL124" i="27" s="1"/>
  <c r="U127" i="27"/>
  <c r="AL127" i="27" s="1"/>
  <c r="V127" i="27"/>
  <c r="AJ127" i="27" s="1"/>
  <c r="K123" i="27"/>
  <c r="K122" i="27"/>
  <c r="K124" i="27"/>
  <c r="K125" i="27"/>
  <c r="K127" i="27"/>
  <c r="K126" i="27"/>
  <c r="EX119" i="20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C110" i="27" l="1"/>
  <c r="D110" i="27"/>
  <c r="G110" i="27"/>
  <c r="H110" i="27" s="1"/>
  <c r="R110" i="27"/>
  <c r="T110" i="27" s="1"/>
  <c r="U110" i="27" s="1"/>
  <c r="AL110" i="27" s="1"/>
  <c r="S110" i="27"/>
  <c r="AD110" i="27"/>
  <c r="AE110" i="27"/>
  <c r="AF110" i="27"/>
  <c r="AG110" i="27"/>
  <c r="C106" i="27" l="1"/>
  <c r="D106" i="27"/>
  <c r="G106" i="27"/>
  <c r="H106" i="27" s="1"/>
  <c r="R106" i="27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R112" i="27"/>
  <c r="S112" i="27"/>
  <c r="AD112" i="27"/>
  <c r="AE112" i="27"/>
  <c r="AF112" i="27"/>
  <c r="AG112" i="27"/>
  <c r="C113" i="27"/>
  <c r="D113" i="27"/>
  <c r="G113" i="27"/>
  <c r="H113" i="27" s="1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R114" i="27"/>
  <c r="S114" i="27"/>
  <c r="AD114" i="27"/>
  <c r="AE114" i="27"/>
  <c r="AF114" i="27"/>
  <c r="AG114" i="27"/>
  <c r="C115" i="27"/>
  <c r="D115" i="27"/>
  <c r="G115" i="27"/>
  <c r="H115" i="27" s="1"/>
  <c r="R115" i="27"/>
  <c r="S115" i="27"/>
  <c r="AD115" i="27"/>
  <c r="AE115" i="27"/>
  <c r="AF115" i="27"/>
  <c r="AG115" i="27"/>
  <c r="C116" i="27"/>
  <c r="D116" i="27"/>
  <c r="G116" i="27"/>
  <c r="H116" i="27" s="1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R118" i="27"/>
  <c r="T118" i="27" s="1"/>
  <c r="S118" i="27"/>
  <c r="AD118" i="27"/>
  <c r="AE118" i="27"/>
  <c r="AF118" i="27"/>
  <c r="AG118" i="27"/>
  <c r="C128" i="27"/>
  <c r="D128" i="27"/>
  <c r="G128" i="27"/>
  <c r="H128" i="27" s="1"/>
  <c r="I128" i="27"/>
  <c r="J128" i="27"/>
  <c r="R128" i="27"/>
  <c r="S128" i="27"/>
  <c r="AD128" i="27"/>
  <c r="AE128" i="27"/>
  <c r="AF128" i="27"/>
  <c r="AG128" i="27"/>
  <c r="T128" i="27" l="1"/>
  <c r="T114" i="27"/>
  <c r="U114" i="27" s="1"/>
  <c r="AL114" i="27" s="1"/>
  <c r="T106" i="27"/>
  <c r="U106" i="27" s="1"/>
  <c r="AL106" i="27" s="1"/>
  <c r="T112" i="27"/>
  <c r="T115" i="27"/>
  <c r="U115" i="27" s="1"/>
  <c r="AL115" i="27" s="1"/>
  <c r="U107" i="27"/>
  <c r="AL107" i="27" s="1"/>
  <c r="U108" i="27"/>
  <c r="AL108" i="27" s="1"/>
  <c r="U109" i="27"/>
  <c r="AL109" i="27" s="1"/>
  <c r="U111" i="27"/>
  <c r="AL111" i="27" s="1"/>
  <c r="U112" i="27"/>
  <c r="AL112" i="27" s="1"/>
  <c r="U113" i="27"/>
  <c r="AL113" i="27" s="1"/>
  <c r="U116" i="27"/>
  <c r="AL116" i="27" s="1"/>
  <c r="K128" i="27"/>
  <c r="U118" i="27"/>
  <c r="AL118" i="27" s="1"/>
  <c r="U128" i="27" l="1"/>
  <c r="AL128" i="27" s="1"/>
  <c r="V128" i="27"/>
  <c r="AJ128" i="27" s="1"/>
  <c r="EV106" i="20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D98" i="27"/>
  <c r="C98" i="27"/>
  <c r="U100" i="27" l="1"/>
  <c r="AL100" i="27" s="1"/>
  <c r="U94" i="27"/>
  <c r="AL94" i="27" s="1"/>
  <c r="U95" i="27"/>
  <c r="AL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29" i="20"/>
  <c r="ES130" i="20"/>
  <c r="ES131" i="20"/>
  <c r="ES132" i="20"/>
  <c r="ES133" i="20"/>
  <c r="ES134" i="20"/>
  <c r="ES135" i="20"/>
  <c r="EY123" i="20"/>
  <c r="ET129" i="20"/>
  <c r="ET130" i="20"/>
  <c r="ET131" i="20"/>
  <c r="ET132" i="20"/>
  <c r="ET133" i="20"/>
  <c r="ET134" i="20"/>
  <c r="ET135" i="20"/>
  <c r="EU132" i="20"/>
  <c r="EU133" i="20"/>
  <c r="EU134" i="20"/>
  <c r="EU135" i="20"/>
  <c r="EV129" i="20"/>
  <c r="EV130" i="20"/>
  <c r="EV131" i="20"/>
  <c r="EV132" i="20"/>
  <c r="EV133" i="20"/>
  <c r="EV134" i="20"/>
  <c r="EV135" i="20"/>
  <c r="FA121" i="20"/>
  <c r="FA122" i="20"/>
  <c r="FA123" i="20"/>
  <c r="FA124" i="20"/>
  <c r="FA125" i="20"/>
  <c r="EW129" i="20"/>
  <c r="EW130" i="20"/>
  <c r="EW131" i="20"/>
  <c r="EW132" i="20"/>
  <c r="EW133" i="20"/>
  <c r="EW134" i="20"/>
  <c r="EW135" i="20"/>
  <c r="EX129" i="20"/>
  <c r="EX130" i="20"/>
  <c r="EX131" i="20"/>
  <c r="EX132" i="20"/>
  <c r="EX133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EZ132" i="20" l="1"/>
  <c r="DP120" i="20"/>
  <c r="EZ130" i="20"/>
  <c r="EY136" i="20"/>
  <c r="EY135" i="20"/>
  <c r="FA120" i="20"/>
  <c r="EY128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EZ129" i="20"/>
  <c r="EY131" i="20"/>
  <c r="FA136" i="20"/>
  <c r="EY115" i="20"/>
  <c r="EZ128" i="20"/>
  <c r="EY114" i="20"/>
  <c r="EY113" i="20"/>
  <c r="EY130" i="20"/>
  <c r="EY129" i="20"/>
  <c r="FA126" i="20"/>
  <c r="EY122" i="20"/>
  <c r="FA116" i="20"/>
  <c r="EY117" i="20"/>
  <c r="EY133" i="20"/>
  <c r="EY121" i="20"/>
  <c r="EY124" i="20"/>
  <c r="EY132" i="20"/>
  <c r="FB132" i="20" s="1"/>
  <c r="EZ131" i="20"/>
  <c r="EY105" i="20"/>
  <c r="K56" i="27"/>
  <c r="K58" i="27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Z117" i="20"/>
  <c r="EY120" i="20"/>
  <c r="EZ105" i="20"/>
  <c r="EZ116" i="20"/>
  <c r="U56" i="27"/>
  <c r="AL56" i="27" s="1"/>
  <c r="K54" i="27"/>
  <c r="U54" i="27"/>
  <c r="AL54" i="27" s="1"/>
  <c r="K52" i="27"/>
  <c r="U52" i="27"/>
  <c r="AL52" i="27" s="1"/>
  <c r="U39" i="27"/>
  <c r="AL39" i="27" s="1"/>
  <c r="U37" i="27"/>
  <c r="AL37" i="27" s="1"/>
  <c r="U34" i="27"/>
  <c r="AL34" i="27" s="1"/>
  <c r="FB127" i="20" l="1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U102" i="27" l="1"/>
  <c r="AL102" i="27" s="1"/>
  <c r="U98" i="27"/>
  <c r="AL98" i="27" s="1"/>
  <c r="U103" i="27"/>
  <c r="AL103" i="27" s="1"/>
  <c r="U104" i="27"/>
  <c r="AL104" i="27" s="1"/>
  <c r="U97" i="27"/>
  <c r="AL97" i="27" s="1"/>
  <c r="U99" i="27"/>
  <c r="AL99" i="27" s="1"/>
  <c r="T92" i="27"/>
  <c r="U92" i="27" s="1"/>
  <c r="AL92" i="27" s="1"/>
  <c r="U96" i="27"/>
  <c r="AL96" i="27" s="1"/>
  <c r="T93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AF10" i="27"/>
  <c r="AF11" i="27"/>
  <c r="AF12" i="27"/>
  <c r="ER99" i="20"/>
  <c r="EX97" i="20"/>
  <c r="EX98" i="20"/>
  <c r="EX99" i="20"/>
  <c r="EX100" i="20"/>
  <c r="EX101" i="20"/>
  <c r="EX102" i="20"/>
  <c r="ER98" i="20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U93" i="27" l="1"/>
  <c r="AL93" i="27" s="1"/>
  <c r="U88" i="27"/>
  <c r="AL88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U75" i="27" l="1"/>
  <c r="AL75" i="27" s="1"/>
  <c r="U76" i="27"/>
  <c r="AL76" i="27" s="1"/>
  <c r="U74" i="27"/>
  <c r="AL74" i="27" s="1"/>
  <c r="U79" i="27"/>
  <c r="AL79" i="27" s="1"/>
  <c r="U78" i="27"/>
  <c r="AL78" i="27" s="1"/>
  <c r="U82" i="27"/>
  <c r="AL82" i="27" s="1"/>
  <c r="U83" i="27"/>
  <c r="AL83" i="27" s="1"/>
  <c r="U77" i="27"/>
  <c r="AL77" i="27" s="1"/>
  <c r="U80" i="27"/>
  <c r="AL80" i="27" s="1"/>
  <c r="U81" i="27"/>
  <c r="AL81" i="27" s="1"/>
  <c r="U84" i="27"/>
  <c r="AL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U63" i="27" l="1"/>
  <c r="AL63" i="27" s="1"/>
  <c r="U50" i="27"/>
  <c r="AL50" i="27" s="1"/>
  <c r="U62" i="27"/>
  <c r="AL62" i="27" s="1"/>
  <c r="U35" i="27"/>
  <c r="AL35" i="27" s="1"/>
  <c r="U61" i="27"/>
  <c r="AL6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9" i="27"/>
  <c r="D68" i="27" l="1"/>
  <c r="D69" i="27"/>
  <c r="D70" i="27"/>
  <c r="D72" i="27"/>
  <c r="D85" i="27"/>
  <c r="D86" i="27"/>
  <c r="D87" i="27"/>
  <c r="D89" i="27"/>
  <c r="D90" i="27"/>
  <c r="D105" i="27"/>
  <c r="D129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9" i="27"/>
  <c r="H129" i="27" s="1"/>
  <c r="I129" i="27"/>
  <c r="J129" i="27"/>
  <c r="R68" i="27"/>
  <c r="R69" i="27"/>
  <c r="R70" i="27"/>
  <c r="R72" i="27"/>
  <c r="R85" i="27"/>
  <c r="T85" i="27" s="1"/>
  <c r="U85" i="27" s="1"/>
  <c r="R86" i="27"/>
  <c r="T86" i="27" s="1"/>
  <c r="U86" i="27" s="1"/>
  <c r="AL86" i="27" s="1"/>
  <c r="R87" i="27"/>
  <c r="T87" i="27" s="1"/>
  <c r="R89" i="27"/>
  <c r="T89" i="27" s="1"/>
  <c r="R90" i="27"/>
  <c r="T90" i="27" s="1"/>
  <c r="R105" i="27"/>
  <c r="T105" i="27" s="1"/>
  <c r="R129" i="27"/>
  <c r="T129" i="27" s="1"/>
  <c r="S68" i="27"/>
  <c r="S69" i="27"/>
  <c r="S70" i="27"/>
  <c r="S72" i="27"/>
  <c r="S85" i="27"/>
  <c r="S86" i="27"/>
  <c r="S87" i="27"/>
  <c r="S89" i="27"/>
  <c r="S90" i="27"/>
  <c r="S105" i="27"/>
  <c r="S129" i="27"/>
  <c r="AD68" i="27"/>
  <c r="AD69" i="27"/>
  <c r="AD70" i="27"/>
  <c r="AD72" i="27"/>
  <c r="AD85" i="27"/>
  <c r="AD86" i="27"/>
  <c r="AD87" i="27"/>
  <c r="AD89" i="27"/>
  <c r="AD90" i="27"/>
  <c r="AD105" i="27"/>
  <c r="AD129" i="27"/>
  <c r="AE68" i="27"/>
  <c r="AE69" i="27"/>
  <c r="AE70" i="27"/>
  <c r="AE72" i="27"/>
  <c r="AE85" i="27"/>
  <c r="AE86" i="27"/>
  <c r="AE87" i="27"/>
  <c r="AE89" i="27"/>
  <c r="AE90" i="27"/>
  <c r="AE105" i="27"/>
  <c r="AE129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9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29" i="27" l="1"/>
  <c r="AL129" i="27" s="1"/>
  <c r="V129" i="27"/>
  <c r="AJ129" i="27" s="1"/>
  <c r="U105" i="27"/>
  <c r="AL105" i="27" s="1"/>
  <c r="U90" i="27"/>
  <c r="AL90" i="27" s="1"/>
  <c r="U89" i="27"/>
  <c r="AL89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9" i="27"/>
  <c r="AL85" i="27"/>
  <c r="T64" i="27"/>
  <c r="AF10" i="22"/>
  <c r="U70" i="27" l="1"/>
  <c r="AL70" i="27" s="1"/>
  <c r="U67" i="27"/>
  <c r="AL67" i="27" s="1"/>
  <c r="U68" i="27"/>
  <c r="AL68" i="27" s="1"/>
  <c r="U64" i="27"/>
  <c r="AL64" i="27" s="1"/>
  <c r="U66" i="27"/>
  <c r="AL66" i="27" s="1"/>
  <c r="U72" i="27"/>
  <c r="AL72" i="27" s="1"/>
  <c r="U69" i="27"/>
  <c r="AL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U31" i="27" l="1"/>
  <c r="AL31" i="27" s="1"/>
  <c r="U51" i="27"/>
  <c r="AL51" i="27" s="1"/>
  <c r="U48" i="27"/>
  <c r="AL48" i="27" s="1"/>
  <c r="U15" i="27"/>
  <c r="AL15" i="27" s="1"/>
  <c r="U47" i="27"/>
  <c r="AL47" i="27" s="1"/>
  <c r="U59" i="27"/>
  <c r="AL59" i="27" s="1"/>
  <c r="U11" i="27"/>
  <c r="AL11" i="27" s="1"/>
  <c r="U38" i="27"/>
  <c r="AL38" i="27" s="1"/>
  <c r="U45" i="27"/>
  <c r="AL45" i="27" s="1"/>
  <c r="U57" i="27"/>
  <c r="AL57" i="27" s="1"/>
  <c r="U36" i="27"/>
  <c r="AL36" i="27" s="1"/>
  <c r="U55" i="27"/>
  <c r="AL55" i="27" s="1"/>
  <c r="U13" i="27"/>
  <c r="AL13" i="27" s="1"/>
  <c r="U17" i="27"/>
  <c r="AL17" i="27" s="1"/>
  <c r="U33" i="27"/>
  <c r="AL33" i="27" s="1"/>
  <c r="U53" i="27"/>
  <c r="AL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U4" i="27"/>
  <c r="AL4" i="27" s="1"/>
  <c r="U43" i="27"/>
  <c r="AL43" i="27" s="1"/>
  <c r="U23" i="27"/>
  <c r="AL23" i="27" s="1"/>
  <c r="U5" i="27"/>
  <c r="AL5" i="27" s="1"/>
  <c r="U41" i="27"/>
  <c r="AL41" i="27" s="1"/>
  <c r="U29" i="27"/>
  <c r="AL29" i="27" s="1"/>
  <c r="U42" i="27"/>
  <c r="AL42" i="27" s="1"/>
  <c r="U6" i="27"/>
  <c r="AL6" i="27" s="1"/>
  <c r="U8" i="27"/>
  <c r="AL8" i="27" s="1"/>
  <c r="U40" i="27"/>
  <c r="AL40" i="27" s="1"/>
  <c r="U7" i="27"/>
  <c r="AL7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0" i="22" l="1"/>
  <c r="T649" i="22"/>
  <c r="T648" i="22"/>
  <c r="T647" i="22"/>
  <c r="T646" i="22"/>
  <c r="T658" i="22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V100" i="27" s="1"/>
  <c r="AJ100" i="27" s="1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V101" i="27" s="1"/>
  <c r="AJ101" i="27" s="1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V99" i="27" s="1"/>
  <c r="AJ99" i="27" s="1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V47" i="27" s="1"/>
  <c r="AJ47" i="27" s="1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V102" i="27" s="1"/>
  <c r="AJ102" i="27" s="1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T55" i="22"/>
  <c r="V95" i="27" s="1"/>
  <c r="AJ95" i="27" s="1"/>
  <c r="T56" i="22"/>
  <c r="T57" i="22"/>
  <c r="V16" i="27" s="1"/>
  <c r="AJ16" i="27" s="1"/>
  <c r="T58" i="22"/>
  <c r="T59" i="22"/>
  <c r="T60" i="22"/>
  <c r="V87" i="27" s="1"/>
  <c r="AJ87" i="27" s="1"/>
  <c r="T61" i="22"/>
  <c r="V89" i="27" s="1"/>
  <c r="AJ89" i="27" s="1"/>
  <c r="T62" i="22"/>
  <c r="T63" i="22"/>
  <c r="T64" i="22"/>
  <c r="V90" i="27" s="1"/>
  <c r="AJ90" i="27" s="1"/>
  <c r="T65" i="22"/>
  <c r="T66" i="22"/>
  <c r="T18" i="22"/>
  <c r="V124" i="27" l="1"/>
  <c r="AJ124" i="27" s="1"/>
  <c r="V123" i="27"/>
  <c r="AJ123" i="27" s="1"/>
  <c r="V77" i="27"/>
  <c r="AJ77" i="27" s="1"/>
  <c r="V81" i="27"/>
  <c r="AJ81" i="27" s="1"/>
  <c r="V84" i="27"/>
  <c r="AJ84" i="27" s="1"/>
  <c r="V63" i="27"/>
  <c r="AJ63" i="27" s="1"/>
  <c r="V68" i="27"/>
  <c r="AJ68" i="27" s="1"/>
  <c r="V91" i="27"/>
  <c r="AJ91" i="27" s="1"/>
  <c r="V96" i="27"/>
  <c r="AJ96" i="27" s="1"/>
  <c r="V98" i="27"/>
  <c r="AJ98" i="27" s="1"/>
  <c r="V105" i="27"/>
  <c r="AJ105" i="27" s="1"/>
  <c r="V75" i="27"/>
  <c r="AJ75" i="27" s="1"/>
  <c r="V74" i="27"/>
  <c r="AJ74" i="27" s="1"/>
  <c r="V50" i="27"/>
  <c r="AJ50" i="27" s="1"/>
  <c r="V21" i="27"/>
  <c r="AJ21" i="27" s="1"/>
  <c r="V13" i="27"/>
  <c r="AJ13" i="27" s="1"/>
  <c r="V94" i="27"/>
  <c r="AJ94" i="27" s="1"/>
  <c r="V111" i="27"/>
  <c r="AJ111" i="27" s="1"/>
  <c r="V76" i="27"/>
  <c r="AJ76" i="27" s="1"/>
  <c r="V35" i="27"/>
  <c r="AJ35" i="27" s="1"/>
  <c r="V104" i="27"/>
  <c r="AJ104" i="27" s="1"/>
  <c r="V97" i="27"/>
  <c r="AJ97" i="27" s="1"/>
  <c r="V19" i="27"/>
  <c r="AJ19" i="27" s="1"/>
  <c r="V92" i="27"/>
  <c r="AJ92" i="27" s="1"/>
  <c r="V39" i="27"/>
  <c r="AJ39" i="27" s="1"/>
  <c r="V52" i="27"/>
  <c r="AJ52" i="27" s="1"/>
  <c r="V34" i="27"/>
  <c r="AJ34" i="27" s="1"/>
  <c r="V49" i="27"/>
  <c r="AJ49" i="27" s="1"/>
  <c r="V46" i="27"/>
  <c r="AJ46" i="27" s="1"/>
  <c r="V58" i="27"/>
  <c r="AJ58" i="27" s="1"/>
  <c r="V37" i="27"/>
  <c r="AJ37" i="27" s="1"/>
  <c r="V56" i="27"/>
  <c r="AJ56" i="27" s="1"/>
  <c r="V54" i="27"/>
  <c r="AJ54" i="27" s="1"/>
  <c r="V32" i="27"/>
  <c r="AJ32" i="27" s="1"/>
  <c r="V40" i="27"/>
  <c r="AJ40" i="27" s="1"/>
  <c r="V4" i="27"/>
  <c r="AJ4" i="27" s="1"/>
  <c r="V103" i="27"/>
  <c r="AJ103" i="27" s="1"/>
  <c r="V88" i="27"/>
  <c r="AJ88" i="27" s="1"/>
  <c r="V17" i="27"/>
  <c r="AJ17" i="27" s="1"/>
  <c r="V31" i="27"/>
  <c r="AJ31" i="27" s="1"/>
  <c r="V38" i="27"/>
  <c r="AJ38" i="27" s="1"/>
  <c r="V33" i="27"/>
  <c r="AJ33" i="27" s="1"/>
  <c r="V53" i="27"/>
  <c r="AJ53" i="27" s="1"/>
  <c r="V48" i="27"/>
  <c r="AJ48" i="27" s="1"/>
  <c r="V51" i="27"/>
  <c r="AJ51" i="27" s="1"/>
  <c r="V36" i="27"/>
  <c r="AJ36" i="27" s="1"/>
  <c r="V55" i="27"/>
  <c r="AJ55" i="27" s="1"/>
  <c r="V59" i="27"/>
  <c r="AJ59" i="27" s="1"/>
  <c r="V45" i="27"/>
  <c r="AJ45" i="27" s="1"/>
  <c r="V57" i="27"/>
  <c r="AJ57" i="27" s="1"/>
  <c r="V5" i="27"/>
  <c r="AJ5" i="27" s="1"/>
  <c r="V41" i="27"/>
  <c r="AJ41" i="27" s="1"/>
  <c r="V66" i="27"/>
  <c r="AJ66" i="27" s="1"/>
  <c r="V42" i="27"/>
  <c r="AJ42" i="27" s="1"/>
  <c r="V6" i="27"/>
  <c r="AJ6" i="27" s="1"/>
  <c r="V115" i="27"/>
  <c r="AJ115" i="27" s="1"/>
  <c r="V64" i="27"/>
  <c r="AJ64" i="27" s="1"/>
  <c r="V43" i="27"/>
  <c r="AJ43" i="27" s="1"/>
  <c r="V7" i="27"/>
  <c r="AJ7" i="27" s="1"/>
  <c r="V120" i="27"/>
  <c r="AJ120" i="27" s="1"/>
  <c r="V119" i="27"/>
  <c r="AJ119" i="27" s="1"/>
  <c r="V121" i="27"/>
  <c r="AJ121" i="27" s="1"/>
  <c r="V122" i="27"/>
  <c r="AJ122" i="27" s="1"/>
  <c r="V118" i="27"/>
  <c r="AJ118" i="27" s="1"/>
  <c r="V117" i="27"/>
  <c r="AJ117" i="27" s="1"/>
  <c r="V93" i="27"/>
  <c r="AJ93" i="27" s="1"/>
  <c r="V72" i="27"/>
  <c r="AJ72" i="27" s="1"/>
  <c r="V8" i="27"/>
  <c r="AJ8" i="27" s="1"/>
  <c r="V44" i="27"/>
  <c r="AJ44" i="27" s="1"/>
  <c r="T435" i="22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V73" i="27" l="1"/>
  <c r="V112" i="27"/>
  <c r="AJ112" i="27" s="1"/>
  <c r="V106" i="27"/>
  <c r="AJ106" i="27" s="1"/>
  <c r="V114" i="27"/>
  <c r="AJ114" i="27" s="1"/>
  <c r="V113" i="27"/>
  <c r="AJ113" i="27" s="1"/>
  <c r="V83" i="27"/>
  <c r="AJ83" i="27" s="1"/>
  <c r="V80" i="27"/>
  <c r="AJ80" i="27" s="1"/>
  <c r="V79" i="27"/>
  <c r="AJ79" i="27" s="1"/>
  <c r="V78" i="27"/>
  <c r="AJ78" i="27" s="1"/>
  <c r="V82" i="27"/>
  <c r="AJ82" i="27" s="1"/>
  <c r="V61" i="27"/>
  <c r="AJ61" i="27" s="1"/>
  <c r="V62" i="27"/>
  <c r="AJ62" i="27" s="1"/>
  <c r="V70" i="27"/>
  <c r="AJ70" i="27" s="1"/>
  <c r="V69" i="27"/>
  <c r="AJ69" i="27" s="1"/>
  <c r="V67" i="27"/>
  <c r="AJ67" i="27" s="1"/>
  <c r="B33" i="9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V116" i="27" s="1"/>
  <c r="AJ116" i="27" s="1"/>
  <c r="T17" i="22"/>
  <c r="T16" i="22"/>
  <c r="T15" i="22"/>
  <c r="T14" i="22"/>
  <c r="T13" i="22"/>
  <c r="T12" i="22"/>
  <c r="T11" i="22"/>
  <c r="T9" i="22"/>
  <c r="V110" i="27" s="1"/>
  <c r="AJ110" i="27" s="1"/>
  <c r="T8" i="22"/>
  <c r="V109" i="27" s="1"/>
  <c r="AJ109" i="27" s="1"/>
  <c r="T7" i="22"/>
  <c r="V108" i="27" s="1"/>
  <c r="AJ108" i="27" s="1"/>
  <c r="T6" i="22"/>
  <c r="V107" i="27" s="1"/>
  <c r="AJ107" i="27" s="1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1" i="24"/>
  <c r="Q11" i="24"/>
  <c r="P11" i="24"/>
  <c r="O11" i="24"/>
  <c r="I11" i="24"/>
  <c r="H11" i="24"/>
  <c r="D11" i="24"/>
  <c r="C11" i="24"/>
  <c r="X10" i="24"/>
  <c r="Q10" i="24"/>
  <c r="P10" i="24"/>
  <c r="O10" i="24"/>
  <c r="I10" i="24"/>
  <c r="H10" i="24"/>
  <c r="D10" i="24"/>
  <c r="C10" i="24"/>
  <c r="X9" i="24"/>
  <c r="Q9" i="24"/>
  <c r="P9" i="24"/>
  <c r="O9" i="24"/>
  <c r="I9" i="24"/>
  <c r="H9" i="24"/>
  <c r="D9" i="24"/>
  <c r="C9" i="24"/>
  <c r="X8" i="24"/>
  <c r="Q8" i="24"/>
  <c r="P8" i="24"/>
  <c r="O8" i="24"/>
  <c r="I8" i="24"/>
  <c r="H8" i="24"/>
  <c r="D8" i="24"/>
  <c r="C8" i="24"/>
  <c r="X7" i="24"/>
  <c r="Q7" i="24"/>
  <c r="P7" i="24"/>
  <c r="O7" i="24"/>
  <c r="I7" i="24"/>
  <c r="H7" i="24"/>
  <c r="D7" i="24"/>
  <c r="C7" i="24"/>
  <c r="X6" i="24"/>
  <c r="Q6" i="24"/>
  <c r="P6" i="24"/>
  <c r="O6" i="24"/>
  <c r="I6" i="24"/>
  <c r="H6" i="24"/>
  <c r="D6" i="24"/>
  <c r="C6" i="24"/>
  <c r="X5" i="24"/>
  <c r="Q5" i="24"/>
  <c r="P5" i="24"/>
  <c r="O5" i="24"/>
  <c r="I5" i="24"/>
  <c r="H5" i="24"/>
  <c r="D5" i="24"/>
  <c r="C5" i="24"/>
  <c r="X4" i="24"/>
  <c r="Q4" i="24"/>
  <c r="P4" i="24"/>
  <c r="O4" i="24"/>
  <c r="I4" i="24"/>
  <c r="H4" i="24"/>
  <c r="D4" i="24"/>
  <c r="C4" i="24"/>
  <c r="X3" i="24"/>
  <c r="Q3" i="24"/>
  <c r="P3" i="24"/>
  <c r="O3" i="24"/>
  <c r="H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X2" i="24"/>
  <c r="Q2" i="24"/>
  <c r="P2" i="24"/>
  <c r="O2" i="24"/>
  <c r="H2" i="24"/>
  <c r="D2" i="24"/>
  <c r="C2" i="24"/>
  <c r="D2" i="29"/>
  <c r="C2" i="29"/>
  <c r="T9" i="24" l="1"/>
  <c r="D4" i="3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R2" i="39" l="1"/>
  <c r="AD2" i="39"/>
  <c r="AH2" i="39"/>
  <c r="AG2" i="39"/>
  <c r="AE2" i="39"/>
  <c r="AC2" i="39"/>
  <c r="AF2" i="39"/>
  <c r="B3" i="39"/>
  <c r="E3" i="39"/>
  <c r="D3" i="39"/>
  <c r="C3" i="39"/>
  <c r="A4" i="39"/>
  <c r="AR3" i="39" l="1"/>
  <c r="AD3" i="39"/>
  <c r="AH3" i="39"/>
  <c r="AG3" i="39"/>
  <c r="AE3" i="39"/>
  <c r="AC3" i="39"/>
  <c r="AF3" i="39"/>
  <c r="A5" i="39"/>
  <c r="E4" i="39"/>
  <c r="D4" i="39"/>
  <c r="C4" i="39"/>
  <c r="B4" i="39"/>
  <c r="AR4" i="39" l="1"/>
  <c r="AD4" i="39"/>
  <c r="AH4" i="39"/>
  <c r="AG4" i="39"/>
  <c r="AE4" i="39"/>
  <c r="AC4" i="39"/>
  <c r="AF4" i="39"/>
  <c r="C5" i="39"/>
  <c r="B5" i="39"/>
  <c r="A6" i="39"/>
  <c r="E5" i="39"/>
  <c r="D5" i="39"/>
  <c r="AR5" i="39" l="1"/>
  <c r="AD5" i="39"/>
  <c r="AH5" i="39"/>
  <c r="AG5" i="39"/>
  <c r="AE5" i="39"/>
  <c r="AF5" i="39"/>
  <c r="AC5" i="39"/>
  <c r="E6" i="39"/>
  <c r="A7" i="39"/>
  <c r="D6" i="39"/>
  <c r="C6" i="39"/>
  <c r="B6" i="39"/>
  <c r="AR6" i="39" l="1"/>
  <c r="AD6" i="39"/>
  <c r="AH6" i="39"/>
  <c r="AG6" i="39"/>
  <c r="AF6" i="39"/>
  <c r="AE6" i="39"/>
  <c r="AC6" i="39"/>
  <c r="B7" i="39"/>
  <c r="A8" i="39"/>
  <c r="E7" i="39"/>
  <c r="D7" i="39"/>
  <c r="C7" i="39"/>
  <c r="AR7" i="39" l="1"/>
  <c r="AD7" i="39"/>
  <c r="AH7" i="39"/>
  <c r="AG7" i="39"/>
  <c r="AF7" i="39"/>
  <c r="AE7" i="39"/>
  <c r="AC7" i="39"/>
  <c r="B8" i="39"/>
  <c r="A9" i="39"/>
  <c r="E8" i="39"/>
  <c r="D8" i="39"/>
  <c r="C8" i="39"/>
  <c r="AR8" i="39" l="1"/>
  <c r="AD8" i="39"/>
  <c r="AH8" i="39"/>
  <c r="AG8" i="39"/>
  <c r="AF8" i="39"/>
  <c r="AE8" i="39"/>
  <c r="AC8" i="39"/>
  <c r="C9" i="39"/>
  <c r="E9" i="39"/>
  <c r="D9" i="39"/>
  <c r="B9" i="39"/>
  <c r="A10" i="39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D10" i="20" l="1"/>
  <c r="A11" i="20"/>
  <c r="E11" i="20" s="1"/>
  <c r="R6" i="39"/>
  <c r="Q6" i="39"/>
  <c r="C10" i="20"/>
  <c r="E10" i="20"/>
  <c r="B10" i="20"/>
  <c r="J2" i="27"/>
  <c r="I2" i="27"/>
  <c r="O6" i="39"/>
  <c r="AR153" i="39"/>
  <c r="AD153" i="39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C11" i="20" l="1"/>
  <c r="X8" i="39"/>
  <c r="D11" i="20"/>
  <c r="Y8" i="39"/>
  <c r="A12" i="20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J71" i="39" s="1"/>
  <c r="C73" i="20"/>
  <c r="B73" i="20"/>
  <c r="E73" i="20"/>
  <c r="D73" i="20"/>
  <c r="W69" i="39"/>
  <c r="R69" i="39"/>
  <c r="O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G71" i="39" l="1"/>
  <c r="AA71" i="39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AA78" i="39" s="1"/>
  <c r="B80" i="20"/>
  <c r="E80" i="20"/>
  <c r="D80" i="20"/>
  <c r="C80" i="20"/>
  <c r="V77" i="39"/>
  <c r="Z77" i="39"/>
  <c r="I77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V78" i="39" l="1"/>
  <c r="F78" i="39"/>
  <c r="M78" i="39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Y80" i="39" l="1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AA81" i="39"/>
  <c r="Y81" i="39"/>
  <c r="L81" i="39"/>
  <c r="G81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G82" i="39" l="1"/>
  <c r="K82" i="39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V83" i="39" l="1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M84" i="39" l="1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AB85" i="39" l="1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BS11" i="35" l="1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16" i="35" l="1"/>
  <c r="AQ16" i="36" s="1"/>
  <c r="BZ15" i="35"/>
  <c r="AT15" i="36" s="1"/>
  <c r="BY14" i="35"/>
  <c r="X14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AA99" i="39"/>
  <c r="AA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J100" i="39" l="1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CA17" i="35" l="1"/>
  <c r="BO17" i="36" s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N17" i="36"/>
  <c r="BB17" i="36"/>
  <c r="AX17" i="36"/>
  <c r="BI17" i="36"/>
  <c r="BR17" i="36"/>
  <c r="BA17" i="36"/>
  <c r="BD17" i="36"/>
  <c r="BL17" i="36"/>
  <c r="BS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AZ17" i="36" l="1"/>
  <c r="BM17" i="36"/>
  <c r="BQ17" i="36"/>
  <c r="BH17" i="36"/>
  <c r="AY17" i="36"/>
  <c r="BP17" i="36"/>
  <c r="BE17" i="36"/>
  <c r="BF17" i="36"/>
  <c r="BR19" i="35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AA102" i="39"/>
  <c r="W102" i="39" s="1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I18" i="36" l="1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O102" i="39"/>
  <c r="J103" i="39"/>
  <c r="F103" i="39"/>
  <c r="I103" i="39"/>
  <c r="Z103" i="39"/>
  <c r="R102" i="39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P19" i="36" l="1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N21" i="35"/>
  <c r="AF21" i="35"/>
  <c r="AH19" i="36"/>
  <c r="AC21" i="35"/>
  <c r="AP19" i="36"/>
  <c r="BT19" i="36"/>
  <c r="AQ19" i="36"/>
  <c r="AG19" i="36"/>
  <c r="BA19" i="36"/>
  <c r="BJ21" i="35"/>
  <c r="AA21" i="35"/>
  <c r="C19" i="36"/>
  <c r="AB19" i="36"/>
  <c r="AH21" i="35"/>
  <c r="BQ19" i="36"/>
  <c r="BO21" i="35"/>
  <c r="O21" i="35"/>
  <c r="AE19" i="36"/>
  <c r="BD21" i="35"/>
  <c r="AI19" i="36"/>
  <c r="AP21" i="35"/>
  <c r="BN21" i="35"/>
  <c r="AT21" i="35"/>
  <c r="BW19" i="36"/>
  <c r="BE21" i="35"/>
  <c r="BN19" i="36"/>
  <c r="AG21" i="35"/>
  <c r="E21" i="35"/>
  <c r="BF21" i="35"/>
  <c r="AO21" i="35"/>
  <c r="AM19" i="36"/>
  <c r="AR21" i="35"/>
  <c r="BV21" i="35"/>
  <c r="F104" i="39"/>
  <c r="G104" i="39"/>
  <c r="X104" i="39"/>
  <c r="K104" i="39"/>
  <c r="V104" i="39"/>
  <c r="AB104" i="39"/>
  <c r="AS104" i="39" s="1"/>
  <c r="Z104" i="39"/>
  <c r="AA104" i="39"/>
  <c r="R104" i="39" s="1"/>
  <c r="M104" i="39"/>
  <c r="D107" i="20"/>
  <c r="B107" i="20"/>
  <c r="E107" i="20"/>
  <c r="C107" i="20"/>
  <c r="U103" i="39"/>
  <c r="R103" i="39"/>
  <c r="O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X20" i="36" l="1"/>
  <c r="J20" i="36"/>
  <c r="AA20" i="36"/>
  <c r="G20" i="36"/>
  <c r="N20" i="36"/>
  <c r="O20" i="36"/>
  <c r="D20" i="36"/>
  <c r="E20" i="36"/>
  <c r="Z20" i="36"/>
  <c r="S20" i="36"/>
  <c r="P20" i="36"/>
  <c r="BM20" i="36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O104" i="39"/>
  <c r="W104" i="39"/>
  <c r="U104" i="39"/>
  <c r="D108" i="20"/>
  <c r="B108" i="20"/>
  <c r="E108" i="20"/>
  <c r="C108" i="20"/>
  <c r="X105" i="39"/>
  <c r="K105" i="39"/>
  <c r="G105" i="39"/>
  <c r="Y105" i="39"/>
  <c r="J105" i="39"/>
  <c r="N105" i="39"/>
  <c r="M105" i="39"/>
  <c r="AA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J21" i="36" l="1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L23" i="35"/>
  <c r="BL23" i="35"/>
  <c r="AW23" i="35"/>
  <c r="AD23" i="35"/>
  <c r="D23" i="35"/>
  <c r="G21" i="36"/>
  <c r="BO21" i="36"/>
  <c r="AB21" i="36"/>
  <c r="V21" i="36"/>
  <c r="BP23" i="35"/>
  <c r="S21" i="36"/>
  <c r="O23" i="35"/>
  <c r="AH23" i="35"/>
  <c r="F23" i="35"/>
  <c r="H23" i="35"/>
  <c r="AT21" i="36"/>
  <c r="AT23" i="35"/>
  <c r="BC23" i="35"/>
  <c r="P23" i="35"/>
  <c r="AZ21" i="36"/>
  <c r="Z23" i="35"/>
  <c r="M23" i="35"/>
  <c r="AP21" i="36"/>
  <c r="BX23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AA106" i="39"/>
  <c r="Q106" i="39" s="1"/>
  <c r="Z106" i="39"/>
  <c r="X106" i="39"/>
  <c r="K106" i="39"/>
  <c r="I106" i="39"/>
  <c r="G106" i="39"/>
  <c r="Y106" i="39"/>
  <c r="U105" i="39"/>
  <c r="Q105" i="39"/>
  <c r="R105" i="39"/>
  <c r="O105" i="39"/>
  <c r="W105" i="39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W22" i="36" l="1"/>
  <c r="G22" i="36"/>
  <c r="H22" i="36"/>
  <c r="F22" i="36"/>
  <c r="R22" i="36"/>
  <c r="BS22" i="36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Y23" i="35"/>
  <c r="X23" i="36" s="1"/>
  <c r="AU22" i="36"/>
  <c r="BC22" i="36"/>
  <c r="BO22" i="36"/>
  <c r="AP22" i="36"/>
  <c r="AF22" i="36"/>
  <c r="AM22" i="36"/>
  <c r="AG22" i="36"/>
  <c r="BZ23" i="35"/>
  <c r="AF23" i="36" s="1"/>
  <c r="AH22" i="36"/>
  <c r="AY22" i="36"/>
  <c r="CA23" i="35"/>
  <c r="BC23" i="36" s="1"/>
  <c r="BF22" i="36"/>
  <c r="O22" i="36"/>
  <c r="C22" i="36"/>
  <c r="M22" i="36"/>
  <c r="R106" i="39"/>
  <c r="O106" i="39"/>
  <c r="U106" i="39"/>
  <c r="W106" i="39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AP23" i="36" l="1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BD23" i="36"/>
  <c r="BO23" i="36"/>
  <c r="BX23" i="36"/>
  <c r="BK23" i="36"/>
  <c r="BQ23" i="36"/>
  <c r="AG23" i="36"/>
  <c r="AX23" i="36"/>
  <c r="AR23" i="36"/>
  <c r="AE23" i="36"/>
  <c r="AS23" i="36"/>
  <c r="BA23" i="36"/>
  <c r="S23" i="36"/>
  <c r="BI23" i="36"/>
  <c r="BR23" i="36"/>
  <c r="AN23" i="36"/>
  <c r="AT23" i="36"/>
  <c r="BM23" i="36"/>
  <c r="BN23" i="36"/>
  <c r="AU23" i="36"/>
  <c r="BG23" i="36"/>
  <c r="AY23" i="36"/>
  <c r="BT23" i="36"/>
  <c r="AM23" i="36"/>
  <c r="BF23" i="36"/>
  <c r="AZ23" i="36"/>
  <c r="AL23" i="36"/>
  <c r="AK23" i="36"/>
  <c r="BW23" i="36"/>
  <c r="C23" i="36"/>
  <c r="F23" i="36"/>
  <c r="AJ23" i="36"/>
  <c r="AH23" i="36"/>
  <c r="BS23" i="36"/>
  <c r="BV23" i="36"/>
  <c r="AI23" i="36"/>
  <c r="AO23" i="36"/>
  <c r="AQ23" i="36"/>
  <c r="Y108" i="39"/>
  <c r="H108" i="39"/>
  <c r="M108" i="39"/>
  <c r="N108" i="39"/>
  <c r="X108" i="39"/>
  <c r="AA108" i="39"/>
  <c r="O108" i="39" s="1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W108" i="39" l="1"/>
  <c r="Q108" i="39"/>
  <c r="R108" i="39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AB24" i="35" l="1"/>
  <c r="AZ24" i="35"/>
  <c r="T24" i="35"/>
  <c r="BE24" i="35"/>
  <c r="BL24" i="35"/>
  <c r="BI24" i="35"/>
  <c r="R24" i="35"/>
  <c r="AL24" i="35"/>
  <c r="X24" i="35"/>
  <c r="AG24" i="35"/>
  <c r="AI24" i="35"/>
  <c r="K24" i="35"/>
  <c r="AK24" i="35"/>
  <c r="BH24" i="35"/>
  <c r="BB24" i="35"/>
  <c r="AR24" i="35"/>
  <c r="E24" i="35"/>
  <c r="BQ24" i="35"/>
  <c r="U24" i="35"/>
  <c r="H24" i="35"/>
  <c r="AW24" i="35"/>
  <c r="I24" i="35"/>
  <c r="Q24" i="35"/>
  <c r="AP24" i="35"/>
  <c r="AA24" i="35"/>
  <c r="L24" i="35"/>
  <c r="D24" i="35"/>
  <c r="C25" i="35"/>
  <c r="BD24" i="35"/>
  <c r="BJ24" i="35"/>
  <c r="Y24" i="35"/>
  <c r="AH24" i="35"/>
  <c r="M24" i="35"/>
  <c r="AT24" i="35"/>
  <c r="BW24" i="35"/>
  <c r="BS24" i="35"/>
  <c r="W24" i="35"/>
  <c r="AJ24" i="35"/>
  <c r="BX24" i="35"/>
  <c r="AO24" i="35"/>
  <c r="Z24" i="35"/>
  <c r="J24" i="35"/>
  <c r="BG24" i="35"/>
  <c r="BO24" i="35"/>
  <c r="N24" i="35"/>
  <c r="P24" i="35"/>
  <c r="AM24" i="35"/>
  <c r="G24" i="35"/>
  <c r="AV24" i="35"/>
  <c r="V24" i="35"/>
  <c r="BF24" i="35"/>
  <c r="AU24" i="35"/>
  <c r="AS24" i="35"/>
  <c r="BR24" i="35"/>
  <c r="AY24" i="35"/>
  <c r="BT24" i="35"/>
  <c r="AQ24" i="35"/>
  <c r="C24" i="35"/>
  <c r="BN24" i="35"/>
  <c r="BU24" i="35"/>
  <c r="AE24" i="35"/>
  <c r="AN24" i="35"/>
  <c r="AC24" i="35"/>
  <c r="O24" i="35"/>
  <c r="BA24" i="35"/>
  <c r="F24" i="35"/>
  <c r="AX24" i="35"/>
  <c r="BC24" i="35"/>
  <c r="BM24" i="35"/>
  <c r="S24" i="35"/>
  <c r="BP24" i="35"/>
  <c r="AF24" i="35"/>
  <c r="BV24" i="35"/>
  <c r="BW25" i="35"/>
  <c r="BK24" i="35"/>
  <c r="AD24" i="35"/>
  <c r="BM25" i="35"/>
  <c r="H25" i="35"/>
  <c r="E25" i="35"/>
  <c r="AS25" i="35"/>
  <c r="BA25" i="35"/>
  <c r="AW25" i="35"/>
  <c r="AT25" i="35"/>
  <c r="AQ25" i="35"/>
  <c r="AU25" i="35"/>
  <c r="J25" i="35"/>
  <c r="W25" i="35"/>
  <c r="K25" i="35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AR26" i="35" l="1"/>
  <c r="BP25" i="35"/>
  <c r="BD25" i="35"/>
  <c r="BX25" i="35"/>
  <c r="BO25" i="35"/>
  <c r="T25" i="35"/>
  <c r="BZ24" i="35"/>
  <c r="AN24" i="36" s="1"/>
  <c r="AY25" i="35"/>
  <c r="AZ25" i="35"/>
  <c r="BL25" i="35"/>
  <c r="AC25" i="35"/>
  <c r="Q25" i="35"/>
  <c r="BV25" i="35"/>
  <c r="BB25" i="35"/>
  <c r="AM25" i="35"/>
  <c r="AA25" i="35"/>
  <c r="Z25" i="35"/>
  <c r="AL25" i="35"/>
  <c r="BE25" i="35"/>
  <c r="AR25" i="35"/>
  <c r="D25" i="35"/>
  <c r="BH25" i="35"/>
  <c r="P25" i="35"/>
  <c r="U25" i="35"/>
  <c r="R25" i="35"/>
  <c r="AG25" i="35"/>
  <c r="AB25" i="35"/>
  <c r="L26" i="35"/>
  <c r="AI25" i="35"/>
  <c r="Y25" i="35"/>
  <c r="F25" i="35"/>
  <c r="BQ25" i="35"/>
  <c r="BI25" i="35"/>
  <c r="AJ25" i="35"/>
  <c r="F26" i="35"/>
  <c r="BJ25" i="35"/>
  <c r="BR25" i="35"/>
  <c r="N25" i="35"/>
  <c r="BN25" i="35"/>
  <c r="BK25" i="35"/>
  <c r="BU25" i="35"/>
  <c r="BY24" i="35"/>
  <c r="U24" i="36" s="1"/>
  <c r="K26" i="35"/>
  <c r="AE25" i="35"/>
  <c r="G25" i="35"/>
  <c r="AF25" i="35"/>
  <c r="L25" i="35"/>
  <c r="AP25" i="35"/>
  <c r="BG25" i="35"/>
  <c r="AX25" i="35"/>
  <c r="O25" i="35"/>
  <c r="V25" i="35"/>
  <c r="AV25" i="35"/>
  <c r="BC25" i="35"/>
  <c r="CA24" i="35"/>
  <c r="AY24" i="36" s="1"/>
  <c r="BT25" i="35"/>
  <c r="AD25" i="35"/>
  <c r="BF25" i="35"/>
  <c r="I25" i="35"/>
  <c r="AO25" i="35"/>
  <c r="BS26" i="35"/>
  <c r="AH25" i="35"/>
  <c r="AK25" i="35"/>
  <c r="X25" i="35"/>
  <c r="BS25" i="35"/>
  <c r="AN25" i="35"/>
  <c r="S25" i="35"/>
  <c r="S26" i="35"/>
  <c r="B114" i="20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AH24" i="36" l="1"/>
  <c r="AM24" i="36"/>
  <c r="AP24" i="36"/>
  <c r="AT24" i="36"/>
  <c r="AL24" i="36"/>
  <c r="AS24" i="36"/>
  <c r="AI24" i="36"/>
  <c r="AQ24" i="36"/>
  <c r="AG24" i="36"/>
  <c r="AK24" i="36"/>
  <c r="AD24" i="36"/>
  <c r="Z24" i="36"/>
  <c r="AC24" i="36"/>
  <c r="X24" i="36"/>
  <c r="H24" i="36"/>
  <c r="J24" i="36"/>
  <c r="O24" i="36"/>
  <c r="F24" i="36"/>
  <c r="K24" i="36"/>
  <c r="Q24" i="36"/>
  <c r="BQ24" i="36"/>
  <c r="AB24" i="36"/>
  <c r="D24" i="36"/>
  <c r="AE24" i="36"/>
  <c r="M24" i="36"/>
  <c r="Y24" i="36"/>
  <c r="P24" i="36"/>
  <c r="AJ24" i="36"/>
  <c r="BD24" i="36"/>
  <c r="AU24" i="36"/>
  <c r="AF24" i="36"/>
  <c r="BT24" i="36"/>
  <c r="CA25" i="35"/>
  <c r="BS25" i="36" s="1"/>
  <c r="BE24" i="36"/>
  <c r="AV24" i="36"/>
  <c r="AN26" i="35"/>
  <c r="BX27" i="35"/>
  <c r="AZ26" i="35"/>
  <c r="BB26" i="35"/>
  <c r="AV26" i="35"/>
  <c r="I26" i="35"/>
  <c r="C26" i="35"/>
  <c r="AQ26" i="35"/>
  <c r="BA24" i="36"/>
  <c r="M26" i="35"/>
  <c r="AL26" i="35"/>
  <c r="AZ24" i="36"/>
  <c r="BX26" i="35"/>
  <c r="BB24" i="36"/>
  <c r="AF26" i="35"/>
  <c r="BX24" i="36"/>
  <c r="AA26" i="35"/>
  <c r="D26" i="35"/>
  <c r="Z26" i="35"/>
  <c r="BH26" i="35"/>
  <c r="BA26" i="35"/>
  <c r="V26" i="35"/>
  <c r="BJ26" i="35"/>
  <c r="L24" i="36"/>
  <c r="U26" i="35"/>
  <c r="BF24" i="36"/>
  <c r="C27" i="35"/>
  <c r="AC26" i="35"/>
  <c r="H26" i="35"/>
  <c r="Q26" i="35"/>
  <c r="R26" i="35"/>
  <c r="BR26" i="35"/>
  <c r="BU26" i="35"/>
  <c r="T24" i="36"/>
  <c r="W24" i="36"/>
  <c r="AT26" i="35"/>
  <c r="BI26" i="35"/>
  <c r="E26" i="35"/>
  <c r="AP26" i="35"/>
  <c r="G26" i="35"/>
  <c r="BZ25" i="35"/>
  <c r="AP25" i="36" s="1"/>
  <c r="BW24" i="36"/>
  <c r="BH24" i="36"/>
  <c r="X26" i="35"/>
  <c r="BL24" i="36"/>
  <c r="BT26" i="35"/>
  <c r="BC26" i="35"/>
  <c r="BL26" i="35"/>
  <c r="AE26" i="35"/>
  <c r="BK26" i="35"/>
  <c r="AA24" i="36"/>
  <c r="BU24" i="36"/>
  <c r="BG26" i="35"/>
  <c r="R24" i="36"/>
  <c r="BV24" i="36"/>
  <c r="E24" i="36"/>
  <c r="AX26" i="35"/>
  <c r="Y26" i="35"/>
  <c r="BJ24" i="36"/>
  <c r="I24" i="36"/>
  <c r="BN24" i="36"/>
  <c r="BS24" i="36"/>
  <c r="BP24" i="36"/>
  <c r="AO24" i="36"/>
  <c r="AB26" i="35"/>
  <c r="AY26" i="35"/>
  <c r="BO26" i="35"/>
  <c r="BM24" i="36"/>
  <c r="G24" i="36"/>
  <c r="AG26" i="35"/>
  <c r="AM26" i="35"/>
  <c r="AS26" i="35"/>
  <c r="AK26" i="35"/>
  <c r="BR24" i="36"/>
  <c r="BG24" i="36"/>
  <c r="AW24" i="36"/>
  <c r="BE26" i="35"/>
  <c r="N24" i="36"/>
  <c r="C24" i="36"/>
  <c r="AQ27" i="35"/>
  <c r="V24" i="36"/>
  <c r="BD26" i="35"/>
  <c r="N26" i="35"/>
  <c r="W26" i="35"/>
  <c r="AI26" i="35"/>
  <c r="S24" i="36"/>
  <c r="AH26" i="35"/>
  <c r="J26" i="35"/>
  <c r="P26" i="35"/>
  <c r="O26" i="35"/>
  <c r="AO26" i="35"/>
  <c r="AW26" i="35"/>
  <c r="AX24" i="36"/>
  <c r="BC24" i="36"/>
  <c r="BF26" i="35"/>
  <c r="BQ26" i="35"/>
  <c r="BI24" i="36"/>
  <c r="AU26" i="35"/>
  <c r="T26" i="35"/>
  <c r="BK24" i="36"/>
  <c r="AD26" i="35"/>
  <c r="AJ26" i="35"/>
  <c r="BN26" i="35"/>
  <c r="BO24" i="36"/>
  <c r="BN27" i="35"/>
  <c r="BW26" i="35"/>
  <c r="BP26" i="35"/>
  <c r="AR24" i="36"/>
  <c r="BV26" i="35"/>
  <c r="B115" i="20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E25" i="36" l="1"/>
  <c r="BQ25" i="36"/>
  <c r="BD25" i="36"/>
  <c r="BV25" i="36"/>
  <c r="BU25" i="36"/>
  <c r="BP25" i="36"/>
  <c r="BI25" i="36"/>
  <c r="BB25" i="36"/>
  <c r="BG25" i="36"/>
  <c r="BX25" i="36"/>
  <c r="BK25" i="36"/>
  <c r="AX25" i="36"/>
  <c r="BT25" i="36"/>
  <c r="BO25" i="36"/>
  <c r="AO25" i="36"/>
  <c r="AN25" i="36"/>
  <c r="BH25" i="36"/>
  <c r="AG25" i="36"/>
  <c r="AL25" i="36"/>
  <c r="AR25" i="36"/>
  <c r="BL25" i="36"/>
  <c r="AE25" i="36"/>
  <c r="AJ25" i="36"/>
  <c r="BC25" i="36"/>
  <c r="AY25" i="36"/>
  <c r="BN25" i="36"/>
  <c r="AK25" i="36"/>
  <c r="AV25" i="36"/>
  <c r="AH25" i="36"/>
  <c r="BW25" i="36"/>
  <c r="BF25" i="36"/>
  <c r="BM25" i="36"/>
  <c r="BA25" i="36"/>
  <c r="AW25" i="36"/>
  <c r="BJ25" i="36"/>
  <c r="BR25" i="36"/>
  <c r="AZ25" i="36"/>
  <c r="AV28" i="35"/>
  <c r="T27" i="35"/>
  <c r="BP27" i="35"/>
  <c r="AU27" i="35"/>
  <c r="D27" i="35"/>
  <c r="BQ27" i="35"/>
  <c r="AE27" i="35"/>
  <c r="E27" i="35"/>
  <c r="AJ27" i="35"/>
  <c r="BB27" i="35"/>
  <c r="AT27" i="35"/>
  <c r="BH27" i="35"/>
  <c r="P27" i="35"/>
  <c r="AZ27" i="35"/>
  <c r="K27" i="35"/>
  <c r="AL27" i="35"/>
  <c r="BJ27" i="35"/>
  <c r="BG27" i="35"/>
  <c r="AD27" i="35"/>
  <c r="BD27" i="35"/>
  <c r="AC27" i="35"/>
  <c r="BW27" i="35"/>
  <c r="AP27" i="35"/>
  <c r="G27" i="35"/>
  <c r="Z27" i="35"/>
  <c r="AQ28" i="35"/>
  <c r="S27" i="35"/>
  <c r="AV27" i="35"/>
  <c r="AA27" i="35"/>
  <c r="BA27" i="35"/>
  <c r="AY27" i="35"/>
  <c r="F27" i="35"/>
  <c r="AS27" i="35"/>
  <c r="AG27" i="35"/>
  <c r="AN27" i="35"/>
  <c r="BI27" i="35"/>
  <c r="I27" i="35"/>
  <c r="V27" i="35"/>
  <c r="BL27" i="35"/>
  <c r="AD28" i="35"/>
  <c r="AR27" i="35"/>
  <c r="BF27" i="35"/>
  <c r="AW27" i="35"/>
  <c r="R27" i="35"/>
  <c r="BT27" i="35"/>
  <c r="AM27" i="35"/>
  <c r="BS27" i="35"/>
  <c r="AX27" i="35"/>
  <c r="BO27" i="35"/>
  <c r="BZ26" i="35"/>
  <c r="AF26" i="36" s="1"/>
  <c r="AH27" i="35"/>
  <c r="AF27" i="35"/>
  <c r="AB27" i="35"/>
  <c r="M27" i="35"/>
  <c r="BY26" i="35"/>
  <c r="N26" i="36" s="1"/>
  <c r="J27" i="35"/>
  <c r="N27" i="35"/>
  <c r="W27" i="35"/>
  <c r="O27" i="35"/>
  <c r="AM25" i="36"/>
  <c r="AS25" i="36"/>
  <c r="AT25" i="36"/>
  <c r="AQ25" i="36"/>
  <c r="AU25" i="36"/>
  <c r="BR27" i="35"/>
  <c r="BV27" i="35"/>
  <c r="Q27" i="35"/>
  <c r="AI27" i="35"/>
  <c r="BM27" i="35"/>
  <c r="BC27" i="35"/>
  <c r="AF25" i="36"/>
  <c r="AI25" i="36"/>
  <c r="L27" i="35"/>
  <c r="BE28" i="35"/>
  <c r="X27" i="35"/>
  <c r="BK27" i="35"/>
  <c r="AO27" i="35"/>
  <c r="AK27" i="35"/>
  <c r="BE27" i="35"/>
  <c r="T28" i="35"/>
  <c r="Y27" i="35"/>
  <c r="BU27" i="35"/>
  <c r="B116" i="20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G26" i="36" l="1"/>
  <c r="C26" i="36"/>
  <c r="I26" i="36"/>
  <c r="V26" i="36"/>
  <c r="T26" i="36"/>
  <c r="O26" i="36"/>
  <c r="AS26" i="36"/>
  <c r="J26" i="36"/>
  <c r="S26" i="36"/>
  <c r="K26" i="36"/>
  <c r="L26" i="36"/>
  <c r="F26" i="36"/>
  <c r="AQ26" i="36"/>
  <c r="P26" i="36"/>
  <c r="BT28" i="35"/>
  <c r="AE28" i="35"/>
  <c r="AJ26" i="36"/>
  <c r="X26" i="36"/>
  <c r="W28" i="35"/>
  <c r="I28" i="35"/>
  <c r="C28" i="35"/>
  <c r="BK28" i="35"/>
  <c r="BR28" i="35"/>
  <c r="AP26" i="36"/>
  <c r="BJ28" i="35"/>
  <c r="N28" i="35"/>
  <c r="BN28" i="35"/>
  <c r="AO28" i="35"/>
  <c r="AH26" i="36"/>
  <c r="AB28" i="35"/>
  <c r="BV28" i="35"/>
  <c r="BM28" i="35"/>
  <c r="AU26" i="36"/>
  <c r="BF28" i="35"/>
  <c r="AA26" i="36"/>
  <c r="AL26" i="36"/>
  <c r="AM26" i="36"/>
  <c r="BH28" i="35"/>
  <c r="BQ28" i="35"/>
  <c r="AT26" i="36"/>
  <c r="R26" i="36"/>
  <c r="AD26" i="36"/>
  <c r="Y28" i="35"/>
  <c r="AN28" i="35"/>
  <c r="U26" i="36"/>
  <c r="AZ28" i="35"/>
  <c r="AX28" i="35"/>
  <c r="AW28" i="35"/>
  <c r="R28" i="35"/>
  <c r="AG28" i="35"/>
  <c r="AF28" i="35"/>
  <c r="AC26" i="36"/>
  <c r="AP28" i="35"/>
  <c r="CA27" i="35"/>
  <c r="BA27" i="36" s="1"/>
  <c r="AS28" i="35"/>
  <c r="BB28" i="35"/>
  <c r="M26" i="36"/>
  <c r="Z26" i="36"/>
  <c r="BZ27" i="35"/>
  <c r="AO27" i="36" s="1"/>
  <c r="BU28" i="35"/>
  <c r="J28" i="35"/>
  <c r="AM28" i="35"/>
  <c r="Q28" i="35"/>
  <c r="AU28" i="35"/>
  <c r="D26" i="36"/>
  <c r="AG26" i="36"/>
  <c r="H28" i="35"/>
  <c r="BA28" i="35"/>
  <c r="M28" i="35"/>
  <c r="AV26" i="36"/>
  <c r="AO26" i="36"/>
  <c r="Q26" i="36"/>
  <c r="E28" i="35"/>
  <c r="F28" i="35"/>
  <c r="S28" i="35"/>
  <c r="Y26" i="36"/>
  <c r="AN26" i="36"/>
  <c r="K28" i="35"/>
  <c r="BX28" i="35"/>
  <c r="AR28" i="35"/>
  <c r="BP28" i="35"/>
  <c r="Z28" i="35"/>
  <c r="E26" i="36"/>
  <c r="AI26" i="36"/>
  <c r="AR26" i="36"/>
  <c r="BW28" i="35"/>
  <c r="AA28" i="35"/>
  <c r="BG28" i="35"/>
  <c r="BD28" i="35"/>
  <c r="BC28" i="35"/>
  <c r="AL28" i="35"/>
  <c r="AH28" i="35"/>
  <c r="G28" i="35"/>
  <c r="AC28" i="35"/>
  <c r="D28" i="35"/>
  <c r="AJ28" i="35"/>
  <c r="AT28" i="35"/>
  <c r="AK26" i="36"/>
  <c r="H26" i="36"/>
  <c r="X28" i="35"/>
  <c r="BI28" i="35"/>
  <c r="AY28" i="35"/>
  <c r="P28" i="35"/>
  <c r="V28" i="35"/>
  <c r="O28" i="35"/>
  <c r="BS28" i="35"/>
  <c r="W26" i="36"/>
  <c r="AE26" i="36"/>
  <c r="BO28" i="35"/>
  <c r="L28" i="35"/>
  <c r="AI28" i="35"/>
  <c r="U28" i="35"/>
  <c r="AK28" i="35"/>
  <c r="AB26" i="36"/>
  <c r="BL28" i="35"/>
  <c r="B117" i="20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BJ27" i="36" l="1"/>
  <c r="BG27" i="36"/>
  <c r="BD27" i="36"/>
  <c r="BE27" i="36"/>
  <c r="BF27" i="36"/>
  <c r="BH27" i="36"/>
  <c r="BP27" i="36"/>
  <c r="AK27" i="36"/>
  <c r="AJ27" i="36"/>
  <c r="BW27" i="36"/>
  <c r="AV27" i="36"/>
  <c r="AN27" i="36"/>
  <c r="AR27" i="36"/>
  <c r="BS27" i="36"/>
  <c r="AH27" i="36"/>
  <c r="AM27" i="36"/>
  <c r="BV27" i="36"/>
  <c r="BL27" i="36"/>
  <c r="BM27" i="36"/>
  <c r="BT27" i="36"/>
  <c r="AX27" i="36"/>
  <c r="AY27" i="36"/>
  <c r="F29" i="35"/>
  <c r="BH29" i="35"/>
  <c r="O29" i="35"/>
  <c r="AR29" i="35"/>
  <c r="J29" i="35"/>
  <c r="BJ29" i="35"/>
  <c r="BM29" i="35"/>
  <c r="BE29" i="35"/>
  <c r="AA29" i="35"/>
  <c r="AP27" i="36"/>
  <c r="AG29" i="35"/>
  <c r="D29" i="35"/>
  <c r="AZ29" i="35"/>
  <c r="BU29" i="35"/>
  <c r="BR29" i="35"/>
  <c r="M29" i="35"/>
  <c r="BY28" i="35"/>
  <c r="O28" i="36" s="1"/>
  <c r="BC27" i="36"/>
  <c r="W29" i="35"/>
  <c r="AU29" i="35"/>
  <c r="AP29" i="35"/>
  <c r="BS29" i="35"/>
  <c r="S29" i="35"/>
  <c r="AW29" i="35"/>
  <c r="Y29" i="35"/>
  <c r="H29" i="35"/>
  <c r="BX29" i="35"/>
  <c r="BC29" i="35"/>
  <c r="BF29" i="35"/>
  <c r="AE27" i="36"/>
  <c r="AW27" i="36"/>
  <c r="AC29" i="35"/>
  <c r="BB27" i="36"/>
  <c r="AI27" i="36"/>
  <c r="AB29" i="35"/>
  <c r="C29" i="35"/>
  <c r="BL29" i="35"/>
  <c r="AM29" i="35"/>
  <c r="AS27" i="36"/>
  <c r="AQ27" i="36"/>
  <c r="BK27" i="36"/>
  <c r="BN27" i="36"/>
  <c r="BX27" i="36"/>
  <c r="CA28" i="35"/>
  <c r="BN28" i="36" s="1"/>
  <c r="AZ27" i="36"/>
  <c r="BI27" i="36"/>
  <c r="BP29" i="35"/>
  <c r="BH30" i="35"/>
  <c r="AO30" i="35"/>
  <c r="AV29" i="35"/>
  <c r="AJ30" i="35"/>
  <c r="AT29" i="35"/>
  <c r="R29" i="35"/>
  <c r="AD29" i="35"/>
  <c r="BD29" i="35"/>
  <c r="AF29" i="35"/>
  <c r="AH29" i="35"/>
  <c r="AL29" i="35"/>
  <c r="BW29" i="35"/>
  <c r="P29" i="35"/>
  <c r="AX29" i="35"/>
  <c r="L29" i="35"/>
  <c r="AU27" i="36"/>
  <c r="AF27" i="36"/>
  <c r="AJ29" i="35"/>
  <c r="T29" i="35"/>
  <c r="I29" i="35"/>
  <c r="BI29" i="35"/>
  <c r="AI29" i="35"/>
  <c r="AE29" i="35"/>
  <c r="AL27" i="36"/>
  <c r="N29" i="35"/>
  <c r="AQ29" i="35"/>
  <c r="BT29" i="35"/>
  <c r="BB29" i="35"/>
  <c r="X29" i="35"/>
  <c r="BA29" i="35"/>
  <c r="AG27" i="36"/>
  <c r="Q29" i="35"/>
  <c r="BO29" i="35"/>
  <c r="BU27" i="36"/>
  <c r="AK29" i="35"/>
  <c r="AY29" i="35"/>
  <c r="BO27" i="36"/>
  <c r="AL30" i="35"/>
  <c r="BV29" i="35"/>
  <c r="AP30" i="35"/>
  <c r="K29" i="35"/>
  <c r="U29" i="35"/>
  <c r="BG29" i="35"/>
  <c r="BK29" i="35"/>
  <c r="V29" i="35"/>
  <c r="E29" i="35"/>
  <c r="AO29" i="35"/>
  <c r="BQ27" i="36"/>
  <c r="BQ29" i="35"/>
  <c r="AS29" i="35"/>
  <c r="AN29" i="35"/>
  <c r="BN29" i="35"/>
  <c r="Z29" i="35"/>
  <c r="O30" i="35"/>
  <c r="AT27" i="36"/>
  <c r="BR27" i="36"/>
  <c r="BZ28" i="35"/>
  <c r="AJ28" i="36" s="1"/>
  <c r="G29" i="35"/>
  <c r="D118" i="20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BW28" i="36" l="1"/>
  <c r="BM28" i="36"/>
  <c r="BB28" i="36"/>
  <c r="BL28" i="36"/>
  <c r="BP28" i="36"/>
  <c r="W28" i="36"/>
  <c r="P28" i="36"/>
  <c r="Y28" i="36"/>
  <c r="D28" i="36"/>
  <c r="AZ28" i="36"/>
  <c r="BK28" i="36"/>
  <c r="H28" i="36"/>
  <c r="K28" i="36"/>
  <c r="E28" i="36"/>
  <c r="L28" i="36"/>
  <c r="Z28" i="36"/>
  <c r="AA28" i="36"/>
  <c r="V28" i="36"/>
  <c r="BO28" i="36"/>
  <c r="U28" i="36"/>
  <c r="BQ28" i="36"/>
  <c r="BX28" i="36"/>
  <c r="BF28" i="36"/>
  <c r="BH28" i="36"/>
  <c r="BJ28" i="36"/>
  <c r="F28" i="36"/>
  <c r="AE28" i="36"/>
  <c r="X28" i="36"/>
  <c r="AW28" i="36"/>
  <c r="C28" i="36"/>
  <c r="AU28" i="36"/>
  <c r="R28" i="36"/>
  <c r="S28" i="36"/>
  <c r="AN28" i="36"/>
  <c r="AT28" i="36"/>
  <c r="I28" i="36"/>
  <c r="AB28" i="36"/>
  <c r="AX28" i="36"/>
  <c r="BU28" i="36"/>
  <c r="BG28" i="36"/>
  <c r="BA28" i="36"/>
  <c r="BD28" i="36"/>
  <c r="BT28" i="36"/>
  <c r="AS28" i="36"/>
  <c r="AI28" i="36"/>
  <c r="AG30" i="35"/>
  <c r="P30" i="35"/>
  <c r="AC30" i="35"/>
  <c r="BB31" i="35"/>
  <c r="AD30" i="35"/>
  <c r="BV28" i="36"/>
  <c r="AY28" i="36"/>
  <c r="AP28" i="36"/>
  <c r="AS30" i="35"/>
  <c r="AR31" i="35"/>
  <c r="I31" i="35"/>
  <c r="M30" i="35"/>
  <c r="J30" i="35"/>
  <c r="BB30" i="35"/>
  <c r="AS31" i="35"/>
  <c r="BS31" i="35"/>
  <c r="AQ30" i="35"/>
  <c r="BU30" i="35"/>
  <c r="N30" i="35"/>
  <c r="BR31" i="35"/>
  <c r="F30" i="35"/>
  <c r="R30" i="35"/>
  <c r="BO30" i="35"/>
  <c r="AM28" i="36"/>
  <c r="K30" i="35"/>
  <c r="AJ31" i="35"/>
  <c r="AL31" i="35"/>
  <c r="AK28" i="36"/>
  <c r="BN30" i="35"/>
  <c r="Y30" i="35"/>
  <c r="D30" i="35"/>
  <c r="BL30" i="35"/>
  <c r="BI28" i="36"/>
  <c r="Q28" i="36"/>
  <c r="T28" i="36"/>
  <c r="AD28" i="36"/>
  <c r="G31" i="35"/>
  <c r="J28" i="36"/>
  <c r="AF28" i="36"/>
  <c r="AU30" i="35"/>
  <c r="BP31" i="35"/>
  <c r="AV30" i="35"/>
  <c r="Y31" i="35"/>
  <c r="AQ31" i="35"/>
  <c r="AF30" i="35"/>
  <c r="I30" i="35"/>
  <c r="G30" i="35"/>
  <c r="AR30" i="35"/>
  <c r="W30" i="35"/>
  <c r="AH28" i="36"/>
  <c r="BX30" i="35"/>
  <c r="BQ30" i="35"/>
  <c r="BX31" i="35"/>
  <c r="BI30" i="35"/>
  <c r="AG28" i="36"/>
  <c r="AR28" i="36"/>
  <c r="O31" i="35"/>
  <c r="AX31" i="35"/>
  <c r="AN30" i="35"/>
  <c r="BC30" i="35"/>
  <c r="BR28" i="36"/>
  <c r="BE28" i="36"/>
  <c r="BY29" i="35"/>
  <c r="Q29" i="36" s="1"/>
  <c r="M28" i="36"/>
  <c r="N31" i="35"/>
  <c r="K31" i="35"/>
  <c r="Q30" i="35"/>
  <c r="BK30" i="35"/>
  <c r="AO28" i="36"/>
  <c r="AI30" i="35"/>
  <c r="BA30" i="35"/>
  <c r="BW30" i="35"/>
  <c r="CA29" i="35"/>
  <c r="BE29" i="36" s="1"/>
  <c r="BO31" i="35"/>
  <c r="AW30" i="35"/>
  <c r="H30" i="35"/>
  <c r="C30" i="35"/>
  <c r="AZ30" i="35"/>
  <c r="X30" i="35"/>
  <c r="BZ29" i="35"/>
  <c r="AH29" i="36" s="1"/>
  <c r="Z30" i="35"/>
  <c r="BP30" i="35"/>
  <c r="BJ30" i="35"/>
  <c r="BE30" i="35"/>
  <c r="AH31" i="35"/>
  <c r="BG30" i="35"/>
  <c r="N28" i="36"/>
  <c r="BS28" i="36"/>
  <c r="AV31" i="35"/>
  <c r="T30" i="35"/>
  <c r="BM30" i="35"/>
  <c r="U30" i="35"/>
  <c r="BD30" i="35"/>
  <c r="AM30" i="35"/>
  <c r="S30" i="35"/>
  <c r="Z31" i="35"/>
  <c r="BU31" i="35"/>
  <c r="AK30" i="35"/>
  <c r="AB30" i="35"/>
  <c r="L30" i="35"/>
  <c r="AE30" i="35"/>
  <c r="AH30" i="35"/>
  <c r="AX30" i="35"/>
  <c r="BR30" i="35"/>
  <c r="BC28" i="36"/>
  <c r="AT30" i="35"/>
  <c r="AC28" i="36"/>
  <c r="AL28" i="36"/>
  <c r="AQ28" i="36"/>
  <c r="AV28" i="36"/>
  <c r="BT30" i="35"/>
  <c r="E30" i="35"/>
  <c r="BS30" i="35"/>
  <c r="AB31" i="35"/>
  <c r="BA31" i="35"/>
  <c r="V30" i="35"/>
  <c r="BF30" i="35"/>
  <c r="BV30" i="35"/>
  <c r="W31" i="35"/>
  <c r="G28" i="36"/>
  <c r="AY30" i="35"/>
  <c r="D119" i="20"/>
  <c r="B119" i="20"/>
  <c r="E119" i="20"/>
  <c r="C119" i="20"/>
  <c r="A120" i="20"/>
  <c r="Q31" i="35" s="1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BS29" i="36" l="1"/>
  <c r="AW29" i="36"/>
  <c r="Y29" i="36"/>
  <c r="C29" i="36"/>
  <c r="V29" i="36"/>
  <c r="BA29" i="36"/>
  <c r="Z29" i="36"/>
  <c r="D29" i="36"/>
  <c r="K29" i="36"/>
  <c r="AN29" i="36"/>
  <c r="AK29" i="36"/>
  <c r="AP29" i="36"/>
  <c r="BH29" i="36"/>
  <c r="BP29" i="36"/>
  <c r="BV29" i="36"/>
  <c r="BI29" i="36"/>
  <c r="E29" i="36"/>
  <c r="G29" i="36"/>
  <c r="BI31" i="35"/>
  <c r="BG31" i="35"/>
  <c r="AO31" i="35"/>
  <c r="BX29" i="36"/>
  <c r="AA29" i="36"/>
  <c r="AO29" i="36"/>
  <c r="AR29" i="36"/>
  <c r="P29" i="36"/>
  <c r="BC31" i="35"/>
  <c r="AX29" i="36"/>
  <c r="AJ29" i="36"/>
  <c r="AW31" i="35"/>
  <c r="AC29" i="36"/>
  <c r="AF29" i="36"/>
  <c r="BJ29" i="36"/>
  <c r="L31" i="35"/>
  <c r="P31" i="35"/>
  <c r="T31" i="35"/>
  <c r="S29" i="36"/>
  <c r="BF31" i="35"/>
  <c r="BZ30" i="35"/>
  <c r="AS30" i="36" s="1"/>
  <c r="BN29" i="36"/>
  <c r="O29" i="36"/>
  <c r="W29" i="36"/>
  <c r="BM31" i="35"/>
  <c r="AD29" i="36"/>
  <c r="CA30" i="35"/>
  <c r="BP30" i="36" s="1"/>
  <c r="AT29" i="36"/>
  <c r="BV31" i="35"/>
  <c r="BJ31" i="35"/>
  <c r="H29" i="36"/>
  <c r="AI31" i="35"/>
  <c r="BC29" i="36"/>
  <c r="V31" i="35"/>
  <c r="AT31" i="35"/>
  <c r="BT29" i="36"/>
  <c r="H31" i="35"/>
  <c r="AE29" i="36"/>
  <c r="BU29" i="36"/>
  <c r="R29" i="36"/>
  <c r="BW29" i="36"/>
  <c r="AV29" i="36"/>
  <c r="AB29" i="36"/>
  <c r="BO29" i="36"/>
  <c r="AU29" i="36"/>
  <c r="AI29" i="36"/>
  <c r="BW31" i="35"/>
  <c r="BT31" i="35"/>
  <c r="BD29" i="36"/>
  <c r="AS29" i="36"/>
  <c r="BL29" i="36"/>
  <c r="U29" i="36"/>
  <c r="BF29" i="36"/>
  <c r="BL31" i="35"/>
  <c r="F29" i="36"/>
  <c r="BE31" i="35"/>
  <c r="BM29" i="36"/>
  <c r="BK31" i="35"/>
  <c r="AL29" i="36"/>
  <c r="AQ29" i="36"/>
  <c r="AA31" i="35"/>
  <c r="N29" i="36"/>
  <c r="R31" i="35"/>
  <c r="AC31" i="35"/>
  <c r="J31" i="35"/>
  <c r="BD31" i="35"/>
  <c r="AM29" i="36"/>
  <c r="F31" i="35"/>
  <c r="J29" i="36"/>
  <c r="BB29" i="36"/>
  <c r="AZ29" i="36"/>
  <c r="AU31" i="35"/>
  <c r="M29" i="36"/>
  <c r="AF31" i="35"/>
  <c r="BK29" i="36"/>
  <c r="M31" i="35"/>
  <c r="X29" i="36"/>
  <c r="BG29" i="36"/>
  <c r="I29" i="36"/>
  <c r="AY31" i="35"/>
  <c r="L29" i="36"/>
  <c r="AG29" i="36"/>
  <c r="AY29" i="36"/>
  <c r="BR29" i="36"/>
  <c r="U31" i="35"/>
  <c r="AM31" i="35"/>
  <c r="BN31" i="35"/>
  <c r="AZ31" i="35"/>
  <c r="T29" i="36"/>
  <c r="BQ29" i="36"/>
  <c r="AN31" i="35"/>
  <c r="A121" i="20"/>
  <c r="AA118" i="39" s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G110" i="39"/>
  <c r="V110" i="39"/>
  <c r="G112" i="39"/>
  <c r="N107" i="39"/>
  <c r="M116" i="39"/>
  <c r="Z108" i="39"/>
  <c r="L108" i="39"/>
  <c r="F108" i="39"/>
  <c r="J108" i="39"/>
  <c r="X116" i="39"/>
  <c r="F107" i="39"/>
  <c r="L111" i="39"/>
  <c r="K109" i="39"/>
  <c r="G116" i="39"/>
  <c r="L114" i="39"/>
  <c r="H111" i="39"/>
  <c r="M115" i="39"/>
  <c r="M110" i="39"/>
  <c r="V116" i="39"/>
  <c r="V107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I114" i="39"/>
  <c r="AA114" i="39"/>
  <c r="H114" i="39"/>
  <c r="L110" i="39"/>
  <c r="Z109" i="39"/>
  <c r="I113" i="39"/>
  <c r="L115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AF30" i="36" l="1"/>
  <c r="AH30" i="36"/>
  <c r="AK30" i="36"/>
  <c r="AG30" i="36"/>
  <c r="AT30" i="36"/>
  <c r="AI30" i="36"/>
  <c r="AR30" i="36"/>
  <c r="AV30" i="36"/>
  <c r="AQ30" i="36"/>
  <c r="AN30" i="36"/>
  <c r="M118" i="39"/>
  <c r="BU32" i="35"/>
  <c r="K32" i="35"/>
  <c r="BO30" i="36"/>
  <c r="AW30" i="36"/>
  <c r="BE30" i="36"/>
  <c r="BH30" i="36"/>
  <c r="BC30" i="36"/>
  <c r="BR30" i="36"/>
  <c r="AM30" i="36"/>
  <c r="BI30" i="36"/>
  <c r="BX30" i="36"/>
  <c r="BI32" i="35"/>
  <c r="BK30" i="36"/>
  <c r="BQ30" i="36"/>
  <c r="BU30" i="36"/>
  <c r="BJ30" i="36"/>
  <c r="BW30" i="36"/>
  <c r="AZ30" i="36"/>
  <c r="AX30" i="36"/>
  <c r="BS30" i="36"/>
  <c r="S32" i="35"/>
  <c r="AQ32" i="35"/>
  <c r="H118" i="39"/>
  <c r="AB118" i="39"/>
  <c r="AS118" i="39" s="1"/>
  <c r="J118" i="39"/>
  <c r="BB30" i="36"/>
  <c r="G32" i="35"/>
  <c r="BD30" i="36"/>
  <c r="K118" i="39"/>
  <c r="F118" i="39"/>
  <c r="N118" i="39"/>
  <c r="AY30" i="36"/>
  <c r="BM30" i="36"/>
  <c r="AE30" i="36"/>
  <c r="AP30" i="36"/>
  <c r="AL30" i="36"/>
  <c r="AO30" i="36"/>
  <c r="AJ30" i="36"/>
  <c r="AU30" i="36"/>
  <c r="BV30" i="36"/>
  <c r="Z118" i="39"/>
  <c r="X118" i="39"/>
  <c r="L118" i="39"/>
  <c r="V118" i="39"/>
  <c r="BF30" i="36"/>
  <c r="BL30" i="36"/>
  <c r="G118" i="39"/>
  <c r="Y118" i="39"/>
  <c r="BN30" i="36"/>
  <c r="BA30" i="36"/>
  <c r="BT30" i="36"/>
  <c r="BG30" i="36"/>
  <c r="K37" i="27"/>
  <c r="B121" i="20"/>
  <c r="C121" i="20"/>
  <c r="D121" i="20"/>
  <c r="E121" i="20"/>
  <c r="K91" i="27"/>
  <c r="K49" i="27"/>
  <c r="A122" i="20"/>
  <c r="BV33" i="35" s="1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U118" i="39" l="1"/>
  <c r="B122" i="20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L119" i="39"/>
  <c r="AA119" i="39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N120" i="39" l="1"/>
  <c r="AA120" i="39"/>
  <c r="O120" i="39" s="1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L120" i="39"/>
  <c r="Q119" i="39"/>
  <c r="R119" i="39"/>
  <c r="U119" i="39"/>
  <c r="O119" i="39"/>
  <c r="W119" i="39"/>
  <c r="A124" i="20"/>
  <c r="U35" i="35" s="1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Q120" i="39" l="1"/>
  <c r="R120" i="39"/>
  <c r="G35" i="35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N121" i="39"/>
  <c r="AB121" i="39"/>
  <c r="AS121" i="39" s="1"/>
  <c r="L122" i="39"/>
  <c r="X122" i="39"/>
  <c r="G122" i="39"/>
  <c r="I122" i="39"/>
  <c r="X121" i="39"/>
  <c r="K122" i="39"/>
  <c r="H121" i="39"/>
  <c r="K121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AB122" i="39" l="1"/>
  <c r="AS122" i="39" s="1"/>
  <c r="N122" i="39"/>
  <c r="E125" i="20"/>
  <c r="B125" i="20"/>
  <c r="C125" i="20"/>
  <c r="D125" i="20"/>
  <c r="M122" i="39"/>
  <c r="J122" i="39"/>
  <c r="F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U122" i="39" l="1"/>
  <c r="E126" i="20"/>
  <c r="B126" i="20"/>
  <c r="C126" i="20"/>
  <c r="D126" i="20"/>
  <c r="A127" i="20"/>
  <c r="K124" i="39" s="1"/>
  <c r="Z124" i="39"/>
  <c r="N124" i="39"/>
  <c r="L124" i="39"/>
  <c r="X124" i="39"/>
  <c r="I123" i="39"/>
  <c r="AB123" i="39"/>
  <c r="AS123" i="39" s="1"/>
  <c r="G11" i="9" s="1"/>
  <c r="H123" i="39"/>
  <c r="Y123" i="39"/>
  <c r="Z123" i="39"/>
  <c r="J123" i="39"/>
  <c r="AA123" i="39"/>
  <c r="D11" i="9" s="1"/>
  <c r="F123" i="39"/>
  <c r="AA124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H124" i="39" l="1"/>
  <c r="V124" i="39"/>
  <c r="D127" i="20"/>
  <c r="E127" i="20"/>
  <c r="B127" i="20"/>
  <c r="C127" i="20"/>
  <c r="Q123" i="39"/>
  <c r="R123" i="39"/>
  <c r="U123" i="39"/>
  <c r="W123" i="39"/>
  <c r="D26" i="9" s="1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K126" i="39" s="1"/>
  <c r="AA126" i="39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AA125" i="39"/>
  <c r="F125" i="39"/>
  <c r="I125" i="39"/>
  <c r="D14" i="9" s="1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L126" i="39" l="1"/>
  <c r="D129" i="20"/>
  <c r="E129" i="20"/>
  <c r="B129" i="20"/>
  <c r="C129" i="20"/>
  <c r="W126" i="39"/>
  <c r="U126" i="39"/>
  <c r="O126" i="39"/>
  <c r="Q126" i="39"/>
  <c r="R126" i="39"/>
  <c r="A130" i="20"/>
  <c r="Q125" i="39"/>
  <c r="U125" i="39"/>
  <c r="D17" i="9" s="1"/>
  <c r="W125" i="39"/>
  <c r="R125" i="39"/>
  <c r="O125" i="39"/>
  <c r="D20" i="9" s="1"/>
  <c r="E20" i="9" s="1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V128" i="39" s="1"/>
  <c r="X128" i="39"/>
  <c r="M127" i="39"/>
  <c r="I127" i="39"/>
  <c r="L127" i="39"/>
  <c r="G128" i="39"/>
  <c r="AA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N128" i="39"/>
  <c r="H127" i="39"/>
  <c r="J128" i="39"/>
  <c r="AA127" i="39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I128" i="39" l="1"/>
  <c r="U128" i="39" s="1"/>
  <c r="M128" i="39"/>
  <c r="Y128" i="39"/>
  <c r="L128" i="39"/>
  <c r="C131" i="20"/>
  <c r="D131" i="20"/>
  <c r="E131" i="20"/>
  <c r="B131" i="20"/>
  <c r="R127" i="39"/>
  <c r="U127" i="39"/>
  <c r="Q127" i="39"/>
  <c r="W127" i="39"/>
  <c r="O127" i="39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AA268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AA266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AA272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AA276" i="39"/>
  <c r="Y276" i="39"/>
  <c r="E276" i="39"/>
  <c r="A277" i="39"/>
  <c r="D276" i="39"/>
  <c r="C276" i="39"/>
  <c r="B276" i="39"/>
  <c r="I120" i="27" l="1"/>
  <c r="J121" i="27"/>
  <c r="J120" i="27"/>
  <c r="I121" i="27"/>
  <c r="I112" i="27"/>
  <c r="I119" i="27"/>
  <c r="J119" i="27"/>
  <c r="J113" i="27"/>
  <c r="I114" i="27"/>
  <c r="J114" i="27"/>
  <c r="I117" i="27"/>
  <c r="J116" i="27"/>
  <c r="J112" i="27"/>
  <c r="I116" i="27"/>
  <c r="J115" i="27"/>
  <c r="I118" i="27"/>
  <c r="I115" i="27"/>
  <c r="J117" i="27"/>
  <c r="I113" i="27"/>
  <c r="J118" i="27"/>
  <c r="AB276" i="39"/>
  <c r="K276" i="39"/>
  <c r="Y274" i="39"/>
  <c r="V268" i="39"/>
  <c r="G268" i="39"/>
  <c r="K272" i="39"/>
  <c r="K274" i="39"/>
  <c r="N270" i="39"/>
  <c r="AA270" i="39"/>
  <c r="Q270" i="39" s="1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U276" i="39" s="1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AA274" i="39"/>
  <c r="Q274" i="39" s="1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I110" i="27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M25" i="35" s="1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5" i="29"/>
  <c r="G7" i="24"/>
  <c r="G5" i="24"/>
  <c r="G10" i="24"/>
  <c r="G8" i="24"/>
  <c r="U4" i="29"/>
  <c r="U6" i="29"/>
  <c r="G4" i="24"/>
  <c r="V10" i="24"/>
  <c r="U3" i="29"/>
  <c r="G9" i="24"/>
  <c r="G11" i="24"/>
  <c r="U2" i="29"/>
  <c r="V6" i="24"/>
  <c r="V5" i="24"/>
  <c r="V11" i="24"/>
  <c r="V4" i="24"/>
  <c r="V7" i="24"/>
  <c r="V8" i="24"/>
  <c r="G6" i="24"/>
  <c r="V9" i="24"/>
  <c r="O268" i="39"/>
  <c r="R268" i="39"/>
  <c r="Q268" i="39"/>
  <c r="W268" i="39"/>
  <c r="R272" i="39"/>
  <c r="Q272" i="39"/>
  <c r="O272" i="39"/>
  <c r="W272" i="39"/>
  <c r="Q266" i="39"/>
  <c r="U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K120" i="27" l="1"/>
  <c r="K121" i="27"/>
  <c r="K115" i="27"/>
  <c r="K112" i="27"/>
  <c r="K114" i="27"/>
  <c r="K119" i="27"/>
  <c r="K117" i="27"/>
  <c r="U268" i="39"/>
  <c r="BY25" i="35"/>
  <c r="K116" i="27"/>
  <c r="K118" i="27"/>
  <c r="K113" i="27"/>
  <c r="W270" i="39"/>
  <c r="R270" i="39"/>
  <c r="O270" i="39"/>
  <c r="U270" i="39"/>
  <c r="R274" i="39"/>
  <c r="W274" i="39"/>
  <c r="H6" i="35"/>
  <c r="AO10" i="35"/>
  <c r="AQ11" i="35"/>
  <c r="BM26" i="35"/>
  <c r="U27" i="35"/>
  <c r="H27" i="35"/>
  <c r="U272" i="39"/>
  <c r="O274" i="39"/>
  <c r="U274" i="39"/>
  <c r="K109" i="27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U25" i="36" l="1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<sst xmlns="http://schemas.openxmlformats.org/spreadsheetml/2006/main" count="5975" uniqueCount="1333">
  <si>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</si>
  <si>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</si>
  <si>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</si>
  <si>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</si>
  <si>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</si>
  <si>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</si>
  <si>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</si>
  <si>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</si>
  <si>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</si>
  <si>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</si>
  <si>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</si>
  <si>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</si>
  <si>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</si>
  <si>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</si>
  <si>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</si>
  <si>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</si>
  <si>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</si>
  <si>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</si>
  <si>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</si>
  <si>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</si>
  <si>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</si>
  <si>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</si>
  <si>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</si>
  <si>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</si>
  <si>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</si>
  <si>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</si>
  <si>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</si>
  <si>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</si>
  <si>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</si>
  <si>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</si>
  <si>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</si>
  <si>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</si>
  <si>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</si>
  <si>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</si>
  <si>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</si>
  <si>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</si>
  <si>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</si>
  <si>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</si>
  <si>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</si>
  <si>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</si>
  <si>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</si>
  <si>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</si>
  <si>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</si>
  <si>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</si>
  <si>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</si>
  <si>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</si>
  <si>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</si>
  <si>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</si>
  <si>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</si>
  <si>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</si>
  <si>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</si>
  <si>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</si>
  <si>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</si>
  <si>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</si>
  <si>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</si>
  <si>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</si>
  <si>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</si>
  <si>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</si>
  <si>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</si>
  <si>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</si>
  <si>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</si>
  <si>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</si>
  <si>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</si>
  <si>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</si>
  <si>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</si>
  <si>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</si>
  <si>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</si>
  <si>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</si>
  <si>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</si>
  <si>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</si>
  <si>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</si>
  <si>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</si>
  <si>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</si>
  <si>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</si>
  <si>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</si>
  <si>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</si>
  <si>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</si>
  <si>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</si>
  <si>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</si>
  <si>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</si>
  <si>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</si>
  <si>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</si>
  <si>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</si>
  <si>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</si>
  <si>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</si>
  <si>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</si>
  <si>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</si>
  <si>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</si>
  <si>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</si>
  <si>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</si>
  <si>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</si>
  <si>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</si>
  <si>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</si>
  <si>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</si>
  <si>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</si>
  <si>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</si>
  <si>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</si>
  <si>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</si>
  <si>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</si>
  <si>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</si>
  <si>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</si>
  <si>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</si>
  <si>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</si>
  <si>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</si>
  <si>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</si>
  <si>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</si>
  <si>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</si>
  <si>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</si>
  <si>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</si>
  <si>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</si>
  <si>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</si>
  <si>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</si>
  <si>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</si>
  <si>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</si>
  <si>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</si>
  <si>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</si>
  <si>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</si>
  <si>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</si>
  <si>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</si>
  <si>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</si>
  <si>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</si>
  <si>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</si>
  <si>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</si>
  <si>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</si>
  <si>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</si>
  <si>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</si>
  <si>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</si>
  <si>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</si>
  <si>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</si>
  <si>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</si>
  <si>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</si>
  <si>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</si>
  <si>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</si>
  <si>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</si>
  <si>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</si>
  <si>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</si>
  <si>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</si>
  <si>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</si>
  <si>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</si>
  <si>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</si>
  <si>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</si>
  <si>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</si>
  <si>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</si>
  <si>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</si>
  <si>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</si>
  <si>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</si>
  <si>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</si>
  <si>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</si>
  <si>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</si>
  <si>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</si>
  <si>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</si>
  <si>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</si>
  <si>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</si>
  <si>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</si>
  <si>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</si>
  <si>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</si>
  <si>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</si>
  <si>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</si>
  <si>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</si>
  <si>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</si>
  <si>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</si>
  <si>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</si>
  <si>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</si>
  <si>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</si>
  <si>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</si>
  <si>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</si>
  <si>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</si>
  <si>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</si>
  <si>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</si>
  <si>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</si>
  <si>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</si>
  <si>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</si>
  <si>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</si>
  <si>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</si>
  <si>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</si>
  <si>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</si>
  <si>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</si>
  <si>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</si>
  <si>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</si>
  <si>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</si>
  <si>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</si>
  <si>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</si>
  <si>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</si>
  <si>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</si>
  <si>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</si>
  <si>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</si>
  <si>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</si>
  <si>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</si>
  <si>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</si>
  <si>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</si>
  <si>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</si>
  <si>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</si>
  <si>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</si>
  <si>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</si>
  <si>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</si>
  <si>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</si>
  <si>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</si>
  <si>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</si>
  <si>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</si>
  <si>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</si>
  <si>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</si>
  <si>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</si>
  <si>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</si>
  <si>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</si>
  <si>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</si>
  <si>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</si>
  <si>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</si>
  <si>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</si>
  <si>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</si>
  <si>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</si>
  <si>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</si>
  <si>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</si>
  <si>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</si>
  <si>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</si>
  <si>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</si>
  <si>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</si>
  <si>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</si>
  <si>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</si>
  <si>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</si>
  <si>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</si>
  <si>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</si>
  <si>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</si>
  <si>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</si>
  <si>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</si>
  <si>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</si>
  <si>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</si>
  <si>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</si>
  <si>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</si>
  <si>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</si>
  <si>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</si>
  <si>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</si>
  <si>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</si>
  <si>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</si>
  <si>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</si>
  <si>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</si>
  <si>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</si>
  <si>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</si>
  <si>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</si>
  <si>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</si>
  <si>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</si>
  <si>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</si>
  <si>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</si>
  <si>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</si>
  <si>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</si>
  <si>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</si>
  <si>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</si>
  <si>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</si>
  <si>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</si>
  <si>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</si>
  <si>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</si>
  <si>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</si>
  <si>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</si>
  <si>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</si>
  <si>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</si>
  <si>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</si>
  <si>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</si>
  <si>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</si>
  <si>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</si>
  <si>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</si>
  <si>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</si>
  <si>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</si>
  <si>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</si>
  <si>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</si>
  <si>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</si>
  <si>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</si>
  <si>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</si>
  <si>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</si>
  <si>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</si>
  <si>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</si>
  <si>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</si>
  <si>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</si>
  <si>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</si>
  <si>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</si>
  <si>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</si>
  <si>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</si>
  <si>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</si>
  <si>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</si>
  <si>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</si>
  <si>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</si>
  <si>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</si>
  <si>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</si>
  <si>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</si>
  <si>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</si>
  <si>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</si>
  <si>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</si>
  <si>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</si>
  <si>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</si>
  <si>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</si>
  <si>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</si>
  <si>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</si>
  <si>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</si>
  <si>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</si>
  <si>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</si>
  <si>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</si>
  <si>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</si>
  <si>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</si>
  <si>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</si>
  <si>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</si>
  <si>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</si>
  <si>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</si>
  <si>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</si>
  <si>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</si>
  <si>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</si>
  <si>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</si>
  <si>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</si>
  <si>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</si>
  <si>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</si>
  <si>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</si>
  <si>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</si>
  <si>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</si>
  <si>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</si>
  <si>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</si>
  <si>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</si>
  <si>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</si>
  <si>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</si>
  <si>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</si>
  <si>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</si>
  <si>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</si>
  <si>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</si>
  <si>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</si>
  <si>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</si>
  <si>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</si>
  <si>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</si>
  <si>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</si>
  <si>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</si>
  <si>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</si>
  <si>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</si>
  <si>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</si>
  <si>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</si>
  <si>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</si>
  <si>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</si>
  <si>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</si>
  <si>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</si>
  <si>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</si>
  <si>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</si>
  <si>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</si>
  <si>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</si>
  <si>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</si>
  <si>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</si>
  <si>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</si>
  <si>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</si>
  <si>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</si>
  <si>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</si>
  <si>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</si>
  <si>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</si>
  <si>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</si>
  <si>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</si>
  <si>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</si>
  <si>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</si>
  <si>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</si>
  <si>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</si>
  <si>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</si>
  <si>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</si>
  <si>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</si>
  <si>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</si>
  <si>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</si>
  <si>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</si>
  <si>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</si>
  <si>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</si>
  <si>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</si>
  <si>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</si>
  <si>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</si>
  <si>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</si>
  <si>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</si>
  <si>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</si>
  <si>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</si>
  <si>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</si>
  <si>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</si>
  <si>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</si>
  <si>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</si>
  <si>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</si>
  <si>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</si>
  <si>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</si>
  <si>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</si>
  <si>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</si>
  <si>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</si>
  <si>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</si>
  <si>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</si>
  <si>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</si>
  <si>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</si>
  <si>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</si>
  <si>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</si>
  <si>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</si>
  <si>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</si>
  <si>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</si>
  <si>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</si>
  <si>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</si>
  <si>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</si>
  <si>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</si>
  <si>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</si>
  <si>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</si>
  <si>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</si>
  <si>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</si>
  <si>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</si>
  <si>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</si>
  <si>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</si>
  <si>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</si>
  <si>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</si>
  <si>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</si>
  <si>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</si>
  <si>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</si>
  <si>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</si>
  <si>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</si>
  <si>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</si>
  <si>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</si>
  <si>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</si>
  <si>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</si>
  <si>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</si>
  <si>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</si>
  <si>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</si>
  <si>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</si>
  <si>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</si>
  <si>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</si>
  <si>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</si>
  <si>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</si>
  <si>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</si>
  <si>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</si>
  <si>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</si>
  <si>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</si>
  <si>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</si>
  <si>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</si>
  <si>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</si>
  <si>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</si>
  <si>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</si>
  <si>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</si>
  <si>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</si>
  <si>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</si>
  <si>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</si>
  <si>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</si>
  <si>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</si>
  <si>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</si>
  <si>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</si>
  <si>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</si>
  <si>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</si>
  <si>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</si>
  <si>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</si>
  <si>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</si>
  <si>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</si>
  <si>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</si>
  <si>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</si>
  <si>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</si>
  <si>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</si>
  <si>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</si>
  <si>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</si>
  <si>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</si>
  <si>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</si>
  <si>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</si>
  <si>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</si>
  <si>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</si>
  <si>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</si>
  <si>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</si>
  <si>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</si>
  <si>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</si>
  <si>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</si>
  <si>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</si>
  <si>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</si>
  <si>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</si>
  <si>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</si>
  <si>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</si>
  <si>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</si>
  <si>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</si>
  <si>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</si>
  <si>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</si>
  <si>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</si>
  <si>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</si>
  <si>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</si>
  <si>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</si>
  <si>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</si>
  <si>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</si>
  <si>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</si>
  <si>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</si>
  <si>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</si>
  <si>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</si>
  <si>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</si>
  <si>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</si>
  <si>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</si>
  <si>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</si>
  <si>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</si>
  <si>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</si>
  <si>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</si>
  <si>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</si>
  <si>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</si>
  <si>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</si>
  <si>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</si>
  <si>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</si>
  <si>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</si>
  <si>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</si>
  <si>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</si>
  <si>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</si>
  <si>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</si>
  <si>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</si>
  <si>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</si>
  <si>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</si>
  <si>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</si>
  <si>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</si>
  <si>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</si>
  <si>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</si>
  <si>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</si>
  <si>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</si>
  <si>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</si>
  <si>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</si>
  <si>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</si>
  <si>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</si>
  <si>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</si>
  <si>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</si>
  <si>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</si>
  <si>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</si>
  <si>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</si>
  <si>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</si>
  <si>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</si>
  <si>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</si>
  <si>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</si>
  <si>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</si>
  <si>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</si>
  <si>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</si>
  <si>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</si>
  <si>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</si>
  <si>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</si>
  <si>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</si>
  <si>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</si>
  <si>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</si>
  <si>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</si>
  <si>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</si>
  <si>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</si>
  <si>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</si>
  <si>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</si>
  <si>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</si>
  <si>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</si>
  <si>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</si>
  <si>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</si>
  <si>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</si>
  <si>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</si>
  <si>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</si>
  <si>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</si>
  <si>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</si>
  <si>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</si>
  <si>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</si>
  <si>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</si>
  <si>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</si>
  <si>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</si>
  <si>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</si>
  <si>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</si>
  <si>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</si>
  <si>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</si>
  <si>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</si>
  <si>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</si>
  <si>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</si>
  <si>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</si>
  <si>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</si>
  <si>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</si>
  <si>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</si>
  <si>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</si>
  <si>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</si>
  <si>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</si>
  <si>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</si>
  <si>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</si>
  <si>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</si>
  <si>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</si>
  <si>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</si>
  <si>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</si>
  <si>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</si>
  <si>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</si>
  <si>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</si>
  <si>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</si>
  <si>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</si>
  <si>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</si>
  <si>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</si>
  <si>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</si>
  <si>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</si>
  <si>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</si>
  <si>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</si>
  <si>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</si>
  <si>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</si>
  <si>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</si>
  <si>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</si>
  <si>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</si>
  <si>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</si>
  <si>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</si>
  <si>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</si>
  <si>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</si>
  <si>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</si>
  <si>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</si>
  <si>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</si>
  <si>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</si>
  <si>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</si>
  <si>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</si>
  <si>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</si>
  <si>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</si>
  <si>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</si>
  <si>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</si>
  <si>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</si>
  <si>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</si>
  <si>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</si>
  <si>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</si>
  <si>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</si>
  <si>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</si>
  <si>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</si>
  <si>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</si>
  <si>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</si>
  <si>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</si>
  <si>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</si>
  <si>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</si>
  <si>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</si>
  <si>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</si>
  <si>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</si>
  <si>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</si>
  <si>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</si>
  <si>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</si>
  <si>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</si>
  <si>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</si>
  <si>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</si>
  <si>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</si>
  <si>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</si>
  <si>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</si>
  <si>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</si>
  <si>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</si>
  <si>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</si>
  <si>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</si>
  <si>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</si>
  <si>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</si>
  <si>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</si>
  <si>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</si>
  <si>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</si>
  <si>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</si>
  <si>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</si>
  <si>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</si>
  <si>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</si>
  <si>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</si>
  <si>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</si>
  <si>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</si>
  <si>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</si>
  <si>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</si>
  <si>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</si>
  <si>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</si>
  <si>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</si>
  <si>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</si>
  <si>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</si>
  <si>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</si>
  <si>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</si>
  <si>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</si>
  <si>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</si>
  <si>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</si>
  <si>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</si>
  <si>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</si>
  <si>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</si>
  <si>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</si>
  <si>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</si>
  <si>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</si>
  <si>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</si>
  <si>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</si>
  <si>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</si>
  <si>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</si>
  <si>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</si>
  <si>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</si>
  <si>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</si>
  <si>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</si>
  <si>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</si>
  <si>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</si>
  <si>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</si>
  <si>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</si>
  <si>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</si>
  <si>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</si>
  <si>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</si>
  <si>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</si>
  <si>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</si>
  <si>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</si>
  <si>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</si>
  <si>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</si>
  <si>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</si>
  <si>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</si>
  <si>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</si>
  <si>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</si>
  <si>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</si>
  <si>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</si>
  <si>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</si>
  <si>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</si>
  <si>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</si>
  <si>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</si>
  <si>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</si>
  <si>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</si>
  <si>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</si>
  <si>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</si>
  <si>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</si>
  <si>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</si>
  <si>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</si>
  <si>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</si>
  <si>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</si>
  <si>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</si>
  <si>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</si>
  <si>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</si>
  <si>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</si>
  <si>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</si>
  <si>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</si>
  <si>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</si>
  <si>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</si>
  <si>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</si>
  <si>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</si>
  <si>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</si>
  <si>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</si>
  <si>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</si>
  <si>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</si>
  <si>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</si>
  <si>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</si>
  <si>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</si>
  <si>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</si>
  <si>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</si>
  <si>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</si>
  <si>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</si>
  <si>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</si>
  <si>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</si>
  <si>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</si>
  <si>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</si>
  <si>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</si>
  <si>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</si>
  <si>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</si>
  <si>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</si>
  <si>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</si>
  <si>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</si>
  <si>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</si>
  <si>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</si>
  <si>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</si>
  <si>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</si>
  <si>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</si>
  <si>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</si>
  <si>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</si>
  <si>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</si>
  <si>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</si>
  <si>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</si>
  <si>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</si>
  <si>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</si>
  <si>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</si>
  <si>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</si>
  <si>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</si>
  <si>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</si>
  <si>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</si>
  <si>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</si>
  <si>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</si>
  <si>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</si>
  <si>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</si>
  <si>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</si>
  <si>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</si>
  <si>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</si>
  <si>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</si>
  <si>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</si>
  <si>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</si>
  <si>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</si>
  <si>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</si>
  <si>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</si>
  <si>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</si>
  <si>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</si>
  <si>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</si>
  <si>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</si>
  <si>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</si>
  <si>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</si>
  <si>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</si>
  <si>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</si>
  <si>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</si>
  <si>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</si>
  <si>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</si>
  <si>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</si>
  <si>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</si>
  <si>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</si>
  <si>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</si>
  <si>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</si>
  <si>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</si>
  <si>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</si>
  <si>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</si>
  <si>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</si>
  <si>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</si>
  <si>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</si>
  <si>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</si>
  <si>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</si>
  <si>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</si>
  <si>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</si>
  <si>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</si>
  <si>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</si>
  <si>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</si>
  <si>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</si>
  <si>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</si>
  <si>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</si>
  <si>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</si>
  <si>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</si>
  <si>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</si>
  <si>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</si>
  <si>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</si>
  <si>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</si>
  <si>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</si>
  <si>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</si>
  <si>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</si>
  <si>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</si>
  <si>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</si>
  <si>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</si>
  <si>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</si>
  <si>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</si>
  <si>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</si>
  <si>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</si>
  <si>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</si>
  <si>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</si>
  <si>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</si>
  <si>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</si>
  <si>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</si>
  <si>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</si>
  <si>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</si>
  <si>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</si>
  <si>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</si>
  <si>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</si>
  <si>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</si>
  <si>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</si>
  <si>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</si>
  <si>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</si>
  <si>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</si>
  <si>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</si>
  <si>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</si>
  <si>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</si>
  <si>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</si>
  <si>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</si>
  <si>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</si>
  <si>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</si>
  <si>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</si>
  <si>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</si>
  <si>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</si>
  <si>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</si>
  <si>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</si>
  <si>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</si>
  <si>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</si>
  <si>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</si>
  <si>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</si>
  <si>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</si>
  <si>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</si>
  <si>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</si>
  <si>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</si>
  <si>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</si>
  <si>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</si>
  <si>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</si>
  <si>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</si>
  <si>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</si>
  <si>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</si>
  <si>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</si>
  <si>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</si>
  <si>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</si>
  <si>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</si>
  <si>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</si>
  <si>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</si>
  <si>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</si>
  <si>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</si>
  <si>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</si>
  <si>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</si>
  <si>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</si>
  <si>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</si>
  <si>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</si>
  <si>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</si>
  <si>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</si>
  <si>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</si>
  <si>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</si>
  <si>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</si>
  <si>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</si>
  <si>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</si>
  <si>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</si>
  <si>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</si>
  <si>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</si>
  <si>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</si>
  <si>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</si>
  <si>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</si>
  <si>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</si>
  <si>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</si>
  <si>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</si>
  <si>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</si>
  <si>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</si>
  <si>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</si>
  <si>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</si>
  <si>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</si>
  <si>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</si>
  <si>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</si>
  <si>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</si>
  <si>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</si>
  <si>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</si>
  <si>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</si>
  <si>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</si>
  <si>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</si>
  <si>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</si>
  <si>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</si>
  <si>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</si>
  <si>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</si>
  <si>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</si>
  <si>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</si>
  <si>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</si>
  <si>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</si>
  <si>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</si>
  <si>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</si>
  <si>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</si>
  <si>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</si>
  <si>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</si>
  <si>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</si>
  <si>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</si>
  <si>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</si>
  <si>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</si>
  <si>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</si>
  <si>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</si>
  <si>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</si>
  <si>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</si>
  <si>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</si>
  <si>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</si>
  <si>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</si>
  <si>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</si>
  <si>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</si>
  <si>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</si>
  <si>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</si>
  <si>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</si>
  <si>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</si>
  <si>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</si>
  <si>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</si>
  <si>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</si>
  <si>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</si>
  <si>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</si>
  <si>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</si>
  <si>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</si>
  <si>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</si>
  <si>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</si>
  <si>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</si>
  <si>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</si>
  <si>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</si>
  <si>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</si>
  <si>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</si>
  <si>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</si>
  <si>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</si>
  <si>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</si>
  <si>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</si>
  <si>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</si>
  <si>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</si>
  <si>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</si>
  <si>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</si>
  <si>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</si>
  <si>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</si>
  <si>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</si>
  <si>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</si>
  <si>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</si>
  <si>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</si>
  <si>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</si>
  <si>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</si>
  <si>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</si>
  <si>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</si>
  <si>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</si>
  <si>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</si>
  <si>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</si>
  <si>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</si>
  <si>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</si>
  <si>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</si>
  <si>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</si>
  <si>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</si>
  <si>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</si>
  <si>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</si>
  <si>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</si>
  <si>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</si>
  <si>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</si>
  <si>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</si>
  <si>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</si>
  <si>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</si>
  <si>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</si>
  <si>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</si>
  <si>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</si>
  <si>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</si>
  <si>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</si>
  <si>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</si>
  <si>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</si>
  <si>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</si>
  <si>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</si>
  <si>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</si>
  <si>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</si>
  <si>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</si>
  <si>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</si>
  <si>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</si>
  <si>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</si>
  <si>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</si>
  <si>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</si>
  <si>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</si>
  <si>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</si>
  <si>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</si>
  <si>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</si>
  <si>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</si>
  <si>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</si>
  <si>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</si>
  <si>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</si>
  <si>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</si>
  <si>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</si>
  <si>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</si>
  <si>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</si>
  <si>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</si>
  <si>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</si>
  <si>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</si>
  <si>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</si>
  <si>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</si>
  <si>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</si>
  <si>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</si>
  <si>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</si>
  <si>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</si>
  <si>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</si>
  <si>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</si>
  <si>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</si>
  <si>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</si>
  <si>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</si>
  <si>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</si>
  <si>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</si>
  <si>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</si>
  <si>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</si>
  <si>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</si>
  <si>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</si>
  <si>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</si>
  <si>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</si>
  <si>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</si>
  <si>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</si>
  <si>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</si>
  <si>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</si>
  <si>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</si>
  <si>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</si>
  <si>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</si>
  <si>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</si>
  <si>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</si>
  <si>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</si>
  <si>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</si>
  <si>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</si>
  <si>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</si>
  <si>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</si>
  <si>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</si>
  <si>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</si>
  <si>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</si>
  <si>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</si>
  <si>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</si>
  <si>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</si>
  <si>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</si>
  <si>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</si>
  <si>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</si>
  <si>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</si>
  <si>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</si>
  <si>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</si>
  <si>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</si>
  <si>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</si>
  <si>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</si>
  <si>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</si>
  <si>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</si>
  <si>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</si>
  <si>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</si>
  <si>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</si>
  <si>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</si>
  <si>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</si>
  <si>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</si>
  <si>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</si>
  <si>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</si>
  <si>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</si>
  <si>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</si>
  <si>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</si>
  <si>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</si>
  <si>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</si>
  <si>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</si>
  <si>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</si>
  <si>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</si>
  <si>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</si>
  <si>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</si>
  <si>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</si>
  <si>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</si>
  <si>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</si>
  <si>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</si>
  <si>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</si>
  <si>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</si>
  <si>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</si>
  <si>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</si>
  <si>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</si>
  <si>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</si>
  <si>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</si>
  <si>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</si>
  <si>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</si>
  <si>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</si>
  <si>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</si>
  <si>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</si>
  <si>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</si>
  <si>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</si>
  <si>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</si>
  <si>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</si>
  <si>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</si>
  <si>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</si>
  <si>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</si>
  <si>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</si>
  <si>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</si>
  <si>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</si>
  <si>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</si>
  <si>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</si>
  <si>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</si>
  <si>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</si>
  <si>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</si>
  <si>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</si>
  <si>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</si>
  <si>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</si>
  <si>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</si>
  <si>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</si>
  <si>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</si>
  <si>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</si>
  <si>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</si>
  <si>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</si>
  <si>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</si>
  <si>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</si>
  <si>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</si>
  <si>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</si>
  <si>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</si>
  <si>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</si>
  <si>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</si>
  <si>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</si>
  <si>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</si>
  <si>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</si>
  <si>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</si>
  <si>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</si>
  <si>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</si>
  <si>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</si>
  <si>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</si>
  <si>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</si>
  <si>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</si>
  <si>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</si>
  <si>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</si>
  <si>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</si>
  <si>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</si>
  <si>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</si>
  <si>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</si>
  <si>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</si>
  <si>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</si>
  <si>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</si>
  <si>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</si>
  <si>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</si>
  <si>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</si>
  <si>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</si>
  <si>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</si>
  <si>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</si>
  <si>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</si>
  <si>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</si>
  <si>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</si>
  <si>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</si>
  <si>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</si>
  <si>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</si>
  <si>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</si>
  <si>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</si>
  <si>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</si>
  <si>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</si>
  <si>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</si>
  <si>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</si>
  <si>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</si>
  <si>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</si>
  <si>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</si>
  <si>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</si>
  <si>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</si>
  <si>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</si>
  <si>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</si>
  <si>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</si>
  <si>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</si>
  <si>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</si>
  <si>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</si>
  <si>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</si>
  <si>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</si>
  <si>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</si>
  <si>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</si>
  <si>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</si>
  <si>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</si>
  <si>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</si>
  <si>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</si>
  <si>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</si>
  <si>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</si>
  <si>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</si>
  <si>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</si>
  <si>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</si>
  <si>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</si>
  <si>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</si>
  <si>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</si>
  <si>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</si>
  <si>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</si>
  <si>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</si>
  <si>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</si>
  <si>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</si>
  <si>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</si>
  <si>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</si>
  <si>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</si>
  <si>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</si>
  <si>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</si>
  <si>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</si>
  <si>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</si>
  <si>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</si>
  <si>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</si>
  <si>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</si>
  <si>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</si>
  <si>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</si>
  <si>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</si>
  <si>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</si>
  <si>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</si>
  <si>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</si>
  <si>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</si>
  <si>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</si>
  <si>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</si>
  <si>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</si>
  <si>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</si>
  <si>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</si>
  <si>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</si>
  <si>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</si>
  <si>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</si>
  <si>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</si>
  <si>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</si>
  <si>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</si>
  <si>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</si>
  <si>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</si>
  <si>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</si>
  <si>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</si>
  <si>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</si>
  <si>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</si>
  <si>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</si>
  <si>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</si>
  <si>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</si>
  <si>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</si>
  <si>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</si>
  <si>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</si>
  <si>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</si>
  <si>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</si>
  <si>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</si>
  <si>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</si>
  <si>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</si>
  <si>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</si>
  <si>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</si>
  <si>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</si>
  <si>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</si>
  <si>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</si>
  <si>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</si>
  <si>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</si>
  <si>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</si>
  <si>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</si>
  <si>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</si>
  <si>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</si>
  <si>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</si>
  <si>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</si>
  <si>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</si>
  <si>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</si>
  <si>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</si>
  <si>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</si>
  <si>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</si>
  <si>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</si>
  <si>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</si>
  <si>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</si>
  <si>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</si>
  <si>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</si>
  <si>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</si>
  <si>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</si>
  <si>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</si>
  <si>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</si>
  <si>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</si>
  <si>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</si>
  <si>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</si>
  <si>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</si>
  <si>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</si>
  <si>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</si>
  <si>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</si>
  <si>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</si>
  <si>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</si>
  <si>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</si>
  <si>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</si>
  <si>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</si>
  <si>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</si>
  <si>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</si>
  <si>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</si>
  <si>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</si>
  <si>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</si>
  <si>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</si>
  <si>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</si>
  <si>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</si>
  <si>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</si>
  <si>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</si>
  <si>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</si>
  <si>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</si>
  <si>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</si>
  <si>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</si>
  <si>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</si>
  <si>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</si>
  <si>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</si>
  <si>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</si>
  <si>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</si>
  <si>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</si>
  <si>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</si>
  <si>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</si>
  <si>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</si>
  <si>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</si>
  <si>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</si>
  <si>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</si>
  <si>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</si>
  <si>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</si>
  <si>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</si>
  <si>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</si>
  <si>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</si>
  <si>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</si>
  <si>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</si>
  <si>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</si>
  <si>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</si>
  <si>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</si>
  <si>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</si>
  <si>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</si>
  <si>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</si>
  <si>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</si>
  <si>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</si>
  <si>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</si>
  <si>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</si>
  <si>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</si>
  <si>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</si>
  <si>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</si>
  <si>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</si>
  <si>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</si>
  <si>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</si>
  <si>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</si>
  <si>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</si>
  <si>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</si>
  <si>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</si>
  <si>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</si>
  <si>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</si>
  <si>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</si>
  <si>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</si>
  <si>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</si>
  <si>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</si>
  <si>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</si>
  <si>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</si>
  <si>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</si>
  <si>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</si>
  <si>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</si>
  <si>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</si>
  <si>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</si>
  <si>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</si>
  <si>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</si>
  <si>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</si>
  <si>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</si>
  <si>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</si>
  <si>
    <t>ICR 03 SCB 1-2-3 Brakdown due to cable Fully Cloudly Weather &amp; Rain</t>
  </si>
  <si>
    <t>Supreme</t>
  </si>
  <si>
    <t>Glenmark</t>
  </si>
  <si>
    <t xml:space="preserve">Wheels India </t>
  </si>
  <si>
    <t>132 kV TL line CT &amp; PT  Oil Leakage attend work Complete and then Charge Grid 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</si>
</sst>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4" fillId="0" borderId="0" applyFont="0" applyFill="0" applyBorder="0" applyAlignment="0" applyProtection="0"/>
    <xf numFmtId="9" fontId="74" fillId="0" borderId="0" applyFont="0" applyFill="0" applyBorder="0" applyAlignment="0" applyProtection="0"/>
    <xf numFmtId="0" fontId="59" fillId="0" borderId="0" applyNumberFormat="0" applyFill="0" applyBorder="0" applyAlignment="0" applyProtection="0"/>
    <xf numFmtId="43" fontId="74" fillId="0" borderId="0" applyFont="0" applyFill="0" applyBorder="0" applyAlignment="0" applyProtection="0"/>
    <xf numFmtId="0" fontId="74" fillId="0" borderId="0"/>
    <xf numFmtId="0" fontId="71" fillId="0" borderId="0"/>
    <xf numFmtId="0" fontId="74" fillId="0" borderId="0"/>
    <xf numFmtId="0" fontId="74" fillId="0" borderId="0"/>
    <xf numFmtId="0" fontId="74" fillId="0" borderId="0"/>
    <xf numFmtId="0" fontId="72" fillId="0" borderId="0">
      <alignment vertical="center"/>
    </xf>
    <xf numFmtId="0" fontId="61" fillId="0" borderId="0"/>
    <xf numFmtId="0" fontId="74" fillId="0" borderId="0"/>
    <xf numFmtId="9" fontId="72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72" fillId="0" borderId="0" applyFont="0" applyFill="0" applyBorder="0" applyAlignment="0" applyProtection="0">
      <alignment vertical="center"/>
    </xf>
    <xf numFmtId="0" fontId="56" fillId="0" borderId="0"/>
    <xf numFmtId="0" fontId="75" fillId="0" borderId="0">
      <alignment vertical="center"/>
    </xf>
    <xf numFmtId="9" fontId="75" fillId="0" borderId="0" applyFont="0" applyFill="0" applyBorder="0" applyAlignment="0" applyProtection="0">
      <alignment vertical="center"/>
    </xf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77" fillId="0" borderId="0" applyNumberFormat="0" applyFill="0" applyBorder="0" applyAlignment="0" applyProtection="0"/>
    <xf numFmtId="0" fontId="78" fillId="0" borderId="41" applyNumberFormat="0" applyFill="0" applyAlignment="0" applyProtection="0"/>
    <xf numFmtId="0" fontId="79" fillId="0" borderId="42" applyNumberFormat="0" applyFill="0" applyAlignment="0" applyProtection="0"/>
    <xf numFmtId="0" fontId="80" fillId="0" borderId="43" applyNumberFormat="0" applyFill="0" applyAlignment="0" applyProtection="0"/>
    <xf numFmtId="0" fontId="80" fillId="0" borderId="0" applyNumberFormat="0" applyFill="0" applyBorder="0" applyAlignment="0" applyProtection="0"/>
    <xf numFmtId="0" fontId="81" fillId="18" borderId="0" applyNumberFormat="0" applyBorder="0" applyAlignment="0" applyProtection="0"/>
    <xf numFmtId="0" fontId="82" fillId="19" borderId="0" applyNumberFormat="0" applyBorder="0" applyAlignment="0" applyProtection="0"/>
    <xf numFmtId="0" fontId="83" fillId="20" borderId="0" applyNumberFormat="0" applyBorder="0" applyAlignment="0" applyProtection="0"/>
    <xf numFmtId="0" fontId="84" fillId="21" borderId="44" applyNumberFormat="0" applyAlignment="0" applyProtection="0"/>
    <xf numFmtId="0" fontId="85" fillId="22" borderId="45" applyNumberFormat="0" applyAlignment="0" applyProtection="0"/>
    <xf numFmtId="0" fontId="86" fillId="22" borderId="44" applyNumberFormat="0" applyAlignment="0" applyProtection="0"/>
    <xf numFmtId="0" fontId="87" fillId="0" borderId="46" applyNumberFormat="0" applyFill="0" applyAlignment="0" applyProtection="0"/>
    <xf numFmtId="0" fontId="65" fillId="23" borderId="47" applyNumberFormat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49" applyNumberFormat="0" applyFill="0" applyAlignment="0" applyProtection="0"/>
    <xf numFmtId="0" fontId="63" fillId="25" borderId="0" applyNumberFormat="0" applyBorder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63" fillId="29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63" fillId="33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63" fillId="37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63" fillId="41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63" fillId="45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4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99" fillId="0" borderId="0"/>
    <xf numFmtId="0" fontId="58" fillId="0" borderId="0"/>
    <xf numFmtId="0" fontId="101" fillId="0" borderId="0"/>
    <xf numFmtId="0" fontId="22" fillId="0" borderId="0"/>
    <xf numFmtId="0" fontId="21" fillId="0" borderId="0"/>
    <xf numFmtId="0" fontId="20" fillId="0" borderId="0"/>
    <xf numFmtId="0" fontId="19" fillId="0" borderId="0"/>
    <xf numFmtId="0" fontId="103" fillId="0" borderId="0"/>
  </cellStyleXfs>
  <cellXfs count="34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5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7" fillId="2" borderId="0" xfId="8" applyFont="1" applyFill="1" applyAlignment="1">
      <alignment horizontal="center" vertical="center" wrapText="1"/>
    </xf>
    <xf numFmtId="167" fontId="5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0" fillId="0" borderId="0" xfId="0" applyNumberFormat="1" applyFont="1" applyAlignment="1">
      <alignment horizontal="center"/>
    </xf>
    <xf numFmtId="2" fontId="6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7" fillId="2" borderId="0" xfId="1" applyFont="1" applyFill="1" applyAlignment="1">
      <alignment horizontal="center" vertical="center" wrapText="1"/>
    </xf>
    <xf numFmtId="0" fontId="57" fillId="2" borderId="3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7" fillId="2" borderId="4" xfId="9" applyFont="1" applyFill="1" applyBorder="1" applyAlignment="1">
      <alignment horizontal="center" vertical="center" wrapText="1"/>
    </xf>
    <xf numFmtId="167" fontId="57" fillId="2" borderId="5" xfId="9" applyNumberFormat="1" applyFont="1" applyFill="1" applyBorder="1" applyAlignment="1">
      <alignment horizontal="center" vertical="center" wrapText="1"/>
    </xf>
    <xf numFmtId="0" fontId="57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7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7" fillId="2" borderId="11" xfId="8" applyFont="1" applyFill="1" applyBorder="1" applyAlignment="1">
      <alignment horizontal="center" vertical="center" wrapText="1"/>
    </xf>
    <xf numFmtId="0" fontId="57" fillId="2" borderId="12" xfId="8" applyFont="1" applyFill="1" applyBorder="1" applyAlignment="1">
      <alignment horizontal="center" vertical="center" wrapText="1"/>
    </xf>
    <xf numFmtId="167" fontId="57" fillId="2" borderId="12" xfId="8" applyNumberFormat="1" applyFont="1" applyFill="1" applyBorder="1" applyAlignment="1">
      <alignment horizontal="center" vertical="center" wrapText="1"/>
    </xf>
    <xf numFmtId="10" fontId="57" fillId="2" borderId="12" xfId="13" applyNumberFormat="1" applyFont="1" applyFill="1" applyBorder="1" applyAlignment="1">
      <alignment horizontal="center" vertical="center" wrapText="1"/>
    </xf>
    <xf numFmtId="169" fontId="58" fillId="9" borderId="13" xfId="13" applyNumberFormat="1" applyFont="1" applyFill="1" applyBorder="1" applyAlignment="1">
      <alignment horizontal="center"/>
    </xf>
    <xf numFmtId="166" fontId="58" fillId="8" borderId="13" xfId="1" applyNumberFormat="1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7" fillId="2" borderId="12" xfId="0" applyNumberFormat="1" applyFont="1" applyFill="1" applyBorder="1" applyAlignment="1">
      <alignment horizontal="center" vertical="center" wrapText="1"/>
    </xf>
    <xf numFmtId="10" fontId="58" fillId="0" borderId="12" xfId="2" applyNumberFormat="1" applyFont="1" applyFill="1" applyBorder="1" applyAlignment="1">
      <alignment horizontal="center"/>
    </xf>
    <xf numFmtId="2" fontId="58" fillId="0" borderId="0" xfId="0" applyNumberFormat="1" applyFont="1" applyAlignment="1">
      <alignment horizontal="center"/>
    </xf>
    <xf numFmtId="0" fontId="57" fillId="2" borderId="12" xfId="0" applyFont="1" applyFill="1" applyBorder="1" applyAlignment="1">
      <alignment horizontal="center" vertical="center" wrapText="1"/>
    </xf>
    <xf numFmtId="170" fontId="58" fillId="8" borderId="14" xfId="0" applyNumberFormat="1" applyFont="1" applyFill="1" applyBorder="1" applyAlignment="1">
      <alignment horizontal="center"/>
    </xf>
    <xf numFmtId="169" fontId="58" fillId="9" borderId="12" xfId="13" applyNumberFormat="1" applyFont="1" applyFill="1" applyBorder="1" applyAlignment="1">
      <alignment horizontal="center"/>
    </xf>
    <xf numFmtId="166" fontId="58" fillId="8" borderId="11" xfId="1" applyNumberFormat="1" applyFont="1" applyFill="1" applyBorder="1" applyAlignment="1">
      <alignment horizontal="center"/>
    </xf>
    <xf numFmtId="0" fontId="58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3" fillId="0" borderId="0" xfId="0" applyFont="1"/>
    <xf numFmtId="0" fontId="65" fillId="15" borderId="1" xfId="0" applyFont="1" applyFill="1" applyBorder="1" applyAlignment="1">
      <alignment vertical="center"/>
    </xf>
    <xf numFmtId="0" fontId="65" fillId="15" borderId="1" xfId="0" applyFont="1" applyFill="1" applyBorder="1" applyAlignment="1">
      <alignment horizontal="center" vertical="center" wrapText="1"/>
    </xf>
    <xf numFmtId="17" fontId="6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5" fillId="15" borderId="1" xfId="0" applyFont="1" applyFill="1" applyBorder="1" applyAlignment="1">
      <alignment horizontal="center" vertical="center"/>
    </xf>
    <xf numFmtId="0" fontId="67" fillId="16" borderId="20" xfId="0" applyFont="1" applyFill="1" applyBorder="1"/>
    <xf numFmtId="170" fontId="68" fillId="8" borderId="21" xfId="6" applyNumberFormat="1" applyFont="1" applyFill="1" applyBorder="1" applyAlignment="1">
      <alignment horizontal="left" vertical="center"/>
    </xf>
    <xf numFmtId="170" fontId="68" fillId="8" borderId="21" xfId="6" applyNumberFormat="1" applyFont="1" applyFill="1" applyBorder="1" applyAlignment="1">
      <alignment vertical="center"/>
    </xf>
    <xf numFmtId="170" fontId="68" fillId="8" borderId="22" xfId="6" applyNumberFormat="1" applyFont="1" applyFill="1" applyBorder="1" applyAlignment="1">
      <alignment vertical="center"/>
    </xf>
    <xf numFmtId="167" fontId="68" fillId="8" borderId="21" xfId="6" applyNumberFormat="1" applyFont="1" applyFill="1" applyBorder="1" applyAlignment="1">
      <alignment horizontal="left" vertical="center"/>
    </xf>
    <xf numFmtId="0" fontId="67" fillId="16" borderId="23" xfId="0" applyFont="1" applyFill="1" applyBorder="1"/>
    <xf numFmtId="167" fontId="68" fillId="8" borderId="24" xfId="6" applyNumberFormat="1" applyFont="1" applyFill="1" applyBorder="1" applyAlignment="1">
      <alignment horizontal="left" vertical="center"/>
    </xf>
    <xf numFmtId="170" fontId="68" fillId="8" borderId="25" xfId="6" applyNumberFormat="1" applyFont="1" applyFill="1" applyBorder="1" applyAlignment="1">
      <alignment vertical="center"/>
    </xf>
    <xf numFmtId="170" fontId="68" fillId="8" borderId="26" xfId="6" applyNumberFormat="1" applyFont="1" applyFill="1" applyBorder="1" applyAlignment="1">
      <alignment vertical="center"/>
    </xf>
    <xf numFmtId="0" fontId="69" fillId="8" borderId="27" xfId="0" applyFont="1" applyFill="1" applyBorder="1"/>
    <xf numFmtId="167" fontId="70" fillId="8" borderId="27" xfId="6" applyNumberFormat="1" applyFont="1" applyFill="1" applyBorder="1" applyAlignment="1">
      <alignment horizontal="left" vertical="center"/>
    </xf>
    <xf numFmtId="0" fontId="67" fillId="16" borderId="28" xfId="0" applyFont="1" applyFill="1" applyBorder="1" applyAlignment="1">
      <alignment horizontal="center" vertical="center" wrapText="1"/>
    </xf>
    <xf numFmtId="0" fontId="67" fillId="16" borderId="29" xfId="0" applyFont="1" applyFill="1" applyBorder="1" applyAlignment="1">
      <alignment horizontal="center" vertical="center" wrapText="1"/>
    </xf>
    <xf numFmtId="0" fontId="67" fillId="16" borderId="30" xfId="0" applyFont="1" applyFill="1" applyBorder="1" applyAlignment="1">
      <alignment horizontal="center" vertical="center" wrapText="1"/>
    </xf>
    <xf numFmtId="0" fontId="69" fillId="8" borderId="32" xfId="0" applyFont="1" applyFill="1" applyBorder="1"/>
    <xf numFmtId="1" fontId="68" fillId="8" borderId="32" xfId="2" applyNumberFormat="1" applyFont="1" applyFill="1" applyBorder="1" applyAlignment="1">
      <alignment horizontal="center" vertical="center"/>
    </xf>
    <xf numFmtId="10" fontId="69" fillId="8" borderId="32" xfId="15" applyNumberFormat="1" applyFont="1" applyFill="1" applyBorder="1" applyAlignment="1">
      <alignment horizontal="center"/>
    </xf>
    <xf numFmtId="0" fontId="69" fillId="8" borderId="35" xfId="0" applyFont="1" applyFill="1" applyBorder="1"/>
    <xf numFmtId="1" fontId="68" fillId="8" borderId="35" xfId="2" applyNumberFormat="1" applyFont="1" applyFill="1" applyBorder="1" applyAlignment="1">
      <alignment horizontal="center" vertical="center"/>
    </xf>
    <xf numFmtId="1" fontId="69" fillId="8" borderId="35" xfId="2" applyNumberFormat="1" applyFont="1" applyFill="1" applyBorder="1" applyAlignment="1">
      <alignment horizontal="center"/>
    </xf>
    <xf numFmtId="10" fontId="69" fillId="8" borderId="35" xfId="15" applyNumberFormat="1" applyFont="1" applyFill="1" applyBorder="1" applyAlignment="1">
      <alignment horizontal="center"/>
    </xf>
    <xf numFmtId="0" fontId="69" fillId="8" borderId="36" xfId="0" applyFont="1" applyFill="1" applyBorder="1"/>
    <xf numFmtId="0" fontId="69" fillId="8" borderId="38" xfId="0" applyFont="1" applyFill="1" applyBorder="1"/>
    <xf numFmtId="1" fontId="68" fillId="8" borderId="38" xfId="2" applyNumberFormat="1" applyFont="1" applyFill="1" applyBorder="1" applyAlignment="1">
      <alignment horizontal="center" vertical="center"/>
    </xf>
    <xf numFmtId="1" fontId="69" fillId="8" borderId="38" xfId="2" applyNumberFormat="1" applyFont="1" applyFill="1" applyBorder="1" applyAlignment="1">
      <alignment horizontal="center"/>
    </xf>
    <xf numFmtId="10" fontId="69" fillId="8" borderId="38" xfId="15" applyNumberFormat="1" applyFont="1" applyFill="1" applyBorder="1" applyAlignment="1">
      <alignment horizontal="center"/>
    </xf>
    <xf numFmtId="165" fontId="68" fillId="8" borderId="32" xfId="2" applyNumberFormat="1" applyFont="1" applyFill="1" applyBorder="1" applyAlignment="1">
      <alignment horizontal="center" vertical="center"/>
    </xf>
    <xf numFmtId="165" fontId="69" fillId="8" borderId="32" xfId="2" applyNumberFormat="1" applyFont="1" applyFill="1" applyBorder="1" applyAlignment="1">
      <alignment horizontal="center"/>
    </xf>
    <xf numFmtId="165" fontId="68" fillId="8" borderId="35" xfId="2" applyNumberFormat="1" applyFont="1" applyFill="1" applyBorder="1" applyAlignment="1">
      <alignment horizontal="center" vertical="center"/>
    </xf>
    <xf numFmtId="165" fontId="69" fillId="8" borderId="35" xfId="2" applyNumberFormat="1" applyFont="1" applyFill="1" applyBorder="1" applyAlignment="1">
      <alignment horizontal="center"/>
    </xf>
    <xf numFmtId="165" fontId="68" fillId="8" borderId="38" xfId="2" applyNumberFormat="1" applyFont="1" applyFill="1" applyBorder="1" applyAlignment="1">
      <alignment horizontal="center" vertical="center"/>
    </xf>
    <xf numFmtId="165" fontId="69" fillId="8" borderId="38" xfId="2" applyNumberFormat="1" applyFont="1" applyFill="1" applyBorder="1" applyAlignment="1">
      <alignment horizontal="center"/>
    </xf>
    <xf numFmtId="0" fontId="91" fillId="2" borderId="7" xfId="8" applyFont="1" applyFill="1" applyBorder="1" applyAlignment="1">
      <alignment horizontal="center" vertical="center" wrapText="1"/>
    </xf>
    <xf numFmtId="167" fontId="91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2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1" fontId="58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7" fillId="2" borderId="0" xfId="8" applyFont="1" applyFill="1" applyAlignment="1">
      <alignment vertical="center" wrapText="1"/>
    </xf>
    <xf numFmtId="1" fontId="68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3" fillId="15" borderId="1" xfId="0" applyNumberFormat="1" applyFont="1" applyFill="1" applyBorder="1" applyAlignment="1">
      <alignment horizontal="center" vertical="center"/>
    </xf>
    <xf numFmtId="0" fontId="74" fillId="8" borderId="0" xfId="5" applyFill="1" applyAlignment="1">
      <alignment horizontal="center"/>
    </xf>
    <xf numFmtId="0" fontId="74" fillId="8" borderId="0" xfId="5" applyFill="1"/>
    <xf numFmtId="0" fontId="74" fillId="8" borderId="0" xfId="5" applyFill="1" applyAlignment="1">
      <alignment horizontal="right"/>
    </xf>
    <xf numFmtId="171" fontId="62" fillId="11" borderId="15" xfId="10" applyNumberFormat="1" applyFont="1" applyFill="1" applyBorder="1" applyAlignment="1">
      <alignment horizontal="center" vertical="center"/>
    </xf>
    <xf numFmtId="169" fontId="58" fillId="11" borderId="15" xfId="0" applyNumberFormat="1" applyFont="1" applyFill="1" applyBorder="1" applyAlignment="1">
      <alignment horizontal="center"/>
    </xf>
    <xf numFmtId="0" fontId="58" fillId="8" borderId="15" xfId="0" applyFont="1" applyFill="1" applyBorder="1" applyAlignment="1">
      <alignment horizontal="center"/>
    </xf>
    <xf numFmtId="170" fontId="58" fillId="8" borderId="15" xfId="0" applyNumberFormat="1" applyFont="1" applyFill="1" applyBorder="1" applyAlignment="1">
      <alignment horizontal="center"/>
    </xf>
    <xf numFmtId="2" fontId="58" fillId="11" borderId="15" xfId="0" applyNumberFormat="1" applyFont="1" applyFill="1" applyBorder="1" applyAlignment="1">
      <alignment horizontal="center"/>
    </xf>
    <xf numFmtId="0" fontId="57" fillId="2" borderId="0" xfId="9" applyFont="1" applyFill="1" applyAlignment="1">
      <alignment horizontal="center" vertical="center" wrapText="1"/>
    </xf>
    <xf numFmtId="1" fontId="58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8" fillId="0" borderId="15" xfId="1" applyNumberFormat="1" applyFont="1" applyFill="1" applyBorder="1" applyAlignment="1">
      <alignment horizontal="center"/>
    </xf>
    <xf numFmtId="166" fontId="58" fillId="0" borderId="54" xfId="1" applyNumberFormat="1" applyFont="1" applyFill="1" applyBorder="1" applyAlignment="1">
      <alignment horizontal="center"/>
    </xf>
    <xf numFmtId="166" fontId="58" fillId="0" borderId="14" xfId="1" applyNumberFormat="1" applyFont="1" applyFill="1" applyBorder="1" applyAlignment="1">
      <alignment horizontal="center"/>
    </xf>
    <xf numFmtId="0" fontId="97" fillId="2" borderId="0" xfId="9" applyFont="1" applyFill="1" applyAlignment="1">
      <alignment horizontal="center" vertical="center" wrapText="1"/>
    </xf>
    <xf numFmtId="10" fontId="97" fillId="2" borderId="12" xfId="13" applyNumberFormat="1" applyFont="1" applyFill="1" applyBorder="1" applyAlignment="1">
      <alignment horizontal="center" vertical="center" wrapText="1"/>
    </xf>
    <xf numFmtId="10" fontId="97" fillId="2" borderId="13" xfId="13" applyNumberFormat="1" applyFont="1" applyFill="1" applyBorder="1" applyAlignment="1">
      <alignment horizontal="center" vertical="center" wrapText="1"/>
    </xf>
    <xf numFmtId="172" fontId="58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8" fillId="0" borderId="15" xfId="1" applyFont="1" applyFill="1" applyBorder="1" applyAlignment="1">
      <alignment horizontal="center"/>
    </xf>
    <xf numFmtId="43" fontId="0" fillId="0" borderId="0" xfId="0" applyNumberFormat="1"/>
    <xf numFmtId="43" fontId="57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0" fillId="49" borderId="40" xfId="41613" applyNumberFormat="1" applyFont="1" applyFill="1" applyBorder="1" applyAlignment="1">
      <alignment horizontal="center"/>
    </xf>
    <xf numFmtId="0" fontId="74" fillId="8" borderId="0" xfId="5" applyFill="1" applyAlignment="1">
      <alignment wrapText="1"/>
    </xf>
    <xf numFmtId="164" fontId="100" fillId="11" borderId="15" xfId="0" applyNumberFormat="1" applyFont="1" applyFill="1" applyBorder="1" applyAlignment="1">
      <alignment horizontal="center"/>
    </xf>
    <xf numFmtId="0" fontId="69" fillId="8" borderId="34" xfId="0" applyFont="1" applyFill="1" applyBorder="1" applyAlignment="1">
      <alignment horizontal="center" vertical="center"/>
    </xf>
    <xf numFmtId="167" fontId="68" fillId="8" borderId="55" xfId="6" applyNumberFormat="1" applyFont="1" applyFill="1" applyBorder="1" applyAlignment="1">
      <alignment horizontal="left" vertical="center"/>
    </xf>
    <xf numFmtId="1" fontId="58" fillId="0" borderId="0" xfId="0" applyNumberFormat="1" applyFont="1" applyAlignment="1">
      <alignment horizontal="center"/>
    </xf>
    <xf numFmtId="164" fontId="58" fillId="11" borderId="15" xfId="0" applyNumberFormat="1" applyFont="1" applyFill="1" applyBorder="1" applyAlignment="1">
      <alignment horizontal="center"/>
    </xf>
    <xf numFmtId="1" fontId="58" fillId="11" borderId="15" xfId="0" applyNumberFormat="1" applyFont="1" applyFill="1" applyBorder="1" applyAlignment="1">
      <alignment horizontal="center"/>
    </xf>
    <xf numFmtId="10" fontId="57" fillId="2" borderId="0" xfId="13" applyNumberFormat="1" applyFont="1" applyFill="1" applyBorder="1" applyAlignment="1">
      <alignment horizontal="center" vertical="center" wrapText="1"/>
    </xf>
    <xf numFmtId="2" fontId="58" fillId="11" borderId="14" xfId="0" applyNumberFormat="1" applyFont="1" applyFill="1" applyBorder="1" applyAlignment="1">
      <alignment horizontal="center"/>
    </xf>
    <xf numFmtId="164" fontId="58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7" fillId="2" borderId="4" xfId="8" applyNumberFormat="1" applyFont="1" applyFill="1" applyBorder="1" applyAlignment="1">
      <alignment horizontal="center" vertical="center" wrapText="1"/>
    </xf>
    <xf numFmtId="0" fontId="57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6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8" fillId="8" borderId="32" xfId="2" applyNumberFormat="1" applyFont="1" applyFill="1" applyBorder="1" applyAlignment="1">
      <alignment horizontal="center" vertical="center"/>
    </xf>
    <xf numFmtId="2" fontId="69" fillId="8" borderId="32" xfId="2" applyNumberFormat="1" applyFont="1" applyFill="1" applyBorder="1" applyAlignment="1">
      <alignment horizontal="center"/>
    </xf>
    <xf numFmtId="2" fontId="68" fillId="8" borderId="35" xfId="2" applyNumberFormat="1" applyFont="1" applyFill="1" applyBorder="1" applyAlignment="1">
      <alignment horizontal="center" vertical="center"/>
    </xf>
    <xf numFmtId="2" fontId="69" fillId="8" borderId="35" xfId="2" applyNumberFormat="1" applyFont="1" applyFill="1" applyBorder="1" applyAlignment="1">
      <alignment horizontal="center"/>
    </xf>
    <xf numFmtId="2" fontId="68" fillId="8" borderId="38" xfId="2" applyNumberFormat="1" applyFont="1" applyFill="1" applyBorder="1" applyAlignment="1">
      <alignment horizontal="center" vertical="center"/>
    </xf>
    <xf numFmtId="2" fontId="69" fillId="8" borderId="38" xfId="2" applyNumberFormat="1" applyFont="1" applyFill="1" applyBorder="1" applyAlignment="1">
      <alignment horizontal="center"/>
    </xf>
    <xf numFmtId="1" fontId="74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0" fillId="7" borderId="15" xfId="13" applyNumberFormat="1" applyFont="1" applyFill="1" applyBorder="1" applyAlignment="1">
      <alignment horizontal="center"/>
    </xf>
    <xf numFmtId="166" fontId="100" fillId="8" borderId="11" xfId="1" applyNumberFormat="1" applyFont="1" applyFill="1" applyBorder="1" applyAlignment="1">
      <alignment horizontal="center"/>
    </xf>
    <xf numFmtId="166" fontId="100" fillId="8" borderId="13" xfId="1" applyNumberFormat="1" applyFont="1" applyFill="1" applyBorder="1" applyAlignment="1">
      <alignment horizontal="center"/>
    </xf>
    <xf numFmtId="169" fontId="100" fillId="9" borderId="12" xfId="13" applyNumberFormat="1" applyFont="1" applyFill="1" applyBorder="1" applyAlignment="1">
      <alignment horizontal="center"/>
    </xf>
    <xf numFmtId="0" fontId="65" fillId="0" borderId="61" xfId="0" applyFont="1" applyBorder="1" applyAlignment="1">
      <alignment horizontal="center" vertical="center" wrapText="1"/>
    </xf>
    <xf numFmtId="0" fontId="0" fillId="0" borderId="62" xfId="0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2" xfId="1" applyNumberFormat="1" applyFont="1" applyFill="1" applyBorder="1" applyAlignment="1">
      <alignment horizontal="center" vertical="center"/>
    </xf>
    <xf numFmtId="0" fontId="0" fillId="0" borderId="62" xfId="1" applyNumberFormat="1" applyFont="1" applyFill="1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0" fontId="0" fillId="0" borderId="62" xfId="2" applyNumberFormat="1" applyFont="1" applyFill="1" applyBorder="1" applyAlignment="1">
      <alignment horizontal="center" vertical="center"/>
    </xf>
    <xf numFmtId="17" fontId="0" fillId="0" borderId="62" xfId="0" applyNumberFormat="1" applyBorder="1" applyAlignment="1">
      <alignment horizontal="center" vertical="center"/>
    </xf>
    <xf numFmtId="10" fontId="0" fillId="0" borderId="62" xfId="0" applyNumberFormat="1" applyBorder="1" applyAlignment="1">
      <alignment horizontal="center" vertical="center"/>
    </xf>
    <xf numFmtId="0" fontId="65" fillId="0" borderId="59" xfId="41618" applyFont="1" applyBorder="1" applyAlignment="1">
      <alignment horizontal="center" vertical="center" wrapText="1"/>
    </xf>
    <xf numFmtId="167" fontId="57" fillId="0" borderId="59" xfId="41617" applyNumberFormat="1" applyFont="1" applyBorder="1" applyAlignment="1">
      <alignment horizontal="center" vertical="center" wrapText="1"/>
    </xf>
    <xf numFmtId="0" fontId="57" fillId="0" borderId="59" xfId="41617" applyFont="1" applyBorder="1" applyAlignment="1">
      <alignment horizontal="center" vertical="center" wrapText="1"/>
    </xf>
    <xf numFmtId="0" fontId="65" fillId="0" borderId="59" xfId="0" applyFont="1" applyBorder="1" applyAlignment="1">
      <alignment horizontal="center" vertical="center" wrapText="1"/>
    </xf>
    <xf numFmtId="9" fontId="65" fillId="0" borderId="59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4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3" fillId="0" borderId="0" xfId="41618" applyNumberFormat="1" applyAlignment="1">
      <alignment horizontal="center" vertical="center"/>
    </xf>
    <xf numFmtId="0" fontId="103" fillId="0" borderId="0" xfId="41618"/>
    <xf numFmtId="0" fontId="58" fillId="0" borderId="61" xfId="2" applyNumberFormat="1" applyFont="1" applyFill="1" applyBorder="1" applyAlignment="1">
      <alignment horizontal="center" vertical="center"/>
    </xf>
    <xf numFmtId="1" fontId="58" fillId="0" borderId="61" xfId="2" applyNumberFormat="1" applyFont="1" applyFill="1" applyBorder="1" applyAlignment="1">
      <alignment horizontal="center" vertical="center"/>
    </xf>
    <xf numFmtId="164" fontId="58" fillId="0" borderId="61" xfId="2" applyNumberFormat="1" applyFont="1" applyFill="1" applyBorder="1" applyAlignment="1">
      <alignment horizontal="center" vertical="center"/>
    </xf>
    <xf numFmtId="0" fontId="103" fillId="0" borderId="0" xfId="41618" applyAlignment="1">
      <alignment horizontal="center" vertical="center"/>
    </xf>
    <xf numFmtId="169" fontId="100" fillId="11" borderId="15" xfId="0" applyNumberFormat="1" applyFont="1" applyFill="1" applyBorder="1" applyAlignment="1">
      <alignment horizontal="center"/>
    </xf>
    <xf numFmtId="1" fontId="100" fillId="11" borderId="15" xfId="0" applyNumberFormat="1" applyFont="1" applyFill="1" applyBorder="1" applyAlignment="1">
      <alignment horizontal="center"/>
    </xf>
    <xf numFmtId="166" fontId="100" fillId="0" borderId="15" xfId="1" applyNumberFormat="1" applyFont="1" applyFill="1" applyBorder="1" applyAlignment="1">
      <alignment horizontal="center"/>
    </xf>
    <xf numFmtId="2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164" fontId="100" fillId="11" borderId="14" xfId="0" applyNumberFormat="1" applyFont="1" applyFill="1" applyBorder="1" applyAlignment="1">
      <alignment horizontal="center"/>
    </xf>
    <xf numFmtId="0" fontId="100" fillId="11" borderId="15" xfId="0" applyFont="1" applyFill="1" applyBorder="1" applyAlignment="1">
      <alignment horizontal="center"/>
    </xf>
    <xf numFmtId="0" fontId="65" fillId="50" borderId="57" xfId="0" applyFont="1" applyFill="1" applyBorder="1" applyAlignment="1">
      <alignment horizontal="center" vertical="center" wrapText="1"/>
    </xf>
    <xf numFmtId="0" fontId="65" fillId="50" borderId="58" xfId="0" applyFont="1" applyFill="1" applyBorder="1" applyAlignment="1">
      <alignment horizontal="center" vertical="center" wrapText="1"/>
    </xf>
    <xf numFmtId="166" fontId="100" fillId="0" borderId="14" xfId="1" applyNumberFormat="1" applyFont="1" applyFill="1" applyBorder="1" applyAlignment="1">
      <alignment horizontal="center"/>
    </xf>
    <xf numFmtId="170" fontId="68" fillId="8" borderId="21" xfId="6" applyNumberFormat="1" applyFont="1" applyFill="1" applyBorder="1" applyAlignment="1" applyProtection="1">
      <alignment horizontal="left" vertical="center"/>
      <protection locked="0"/>
    </xf>
    <xf numFmtId="167" fontId="68" fillId="8" borderId="21" xfId="6" applyNumberFormat="1" applyFont="1" applyFill="1" applyBorder="1" applyAlignment="1" applyProtection="1">
      <alignment horizontal="left" vertical="center"/>
      <protection locked="0"/>
    </xf>
    <xf numFmtId="1" fontId="69" fillId="8" borderId="33" xfId="0" applyNumberFormat="1" applyFont="1" applyFill="1" applyBorder="1" applyProtection="1">
      <protection locked="0"/>
    </xf>
    <xf numFmtId="0" fontId="69" fillId="8" borderId="36" xfId="0" applyFont="1" applyFill="1" applyBorder="1" applyProtection="1">
      <protection locked="0"/>
    </xf>
    <xf numFmtId="0" fontId="69" fillId="8" borderId="39" xfId="0" applyFont="1" applyFill="1" applyBorder="1" applyProtection="1">
      <protection locked="0"/>
    </xf>
    <xf numFmtId="0" fontId="65" fillId="0" borderId="59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0" fillId="9" borderId="11" xfId="13" applyNumberFormat="1" applyFont="1" applyFill="1" applyBorder="1" applyAlignment="1">
      <alignment horizontal="center"/>
    </xf>
    <xf numFmtId="164" fontId="58" fillId="0" borderId="61" xfId="0" applyNumberFormat="1" applyFont="1" applyBorder="1" applyAlignment="1">
      <alignment horizontal="center" vertical="center"/>
    </xf>
    <xf numFmtId="0" fontId="105" fillId="0" borderId="60" xfId="1" applyNumberFormat="1" applyFont="1" applyFill="1" applyBorder="1" applyAlignment="1">
      <alignment horizontal="center" vertical="center"/>
    </xf>
    <xf numFmtId="169" fontId="100" fillId="52" borderId="15" xfId="13" applyNumberFormat="1" applyFont="1" applyFill="1" applyBorder="1" applyAlignment="1">
      <alignment horizontal="center"/>
    </xf>
    <xf numFmtId="1" fontId="100" fillId="51" borderId="15" xfId="13" applyNumberFormat="1" applyFont="1" applyFill="1" applyBorder="1" applyAlignment="1">
      <alignment horizontal="center" vertical="top"/>
    </xf>
    <xf numFmtId="1" fontId="100" fillId="7" borderId="63" xfId="13" applyNumberFormat="1" applyFont="1" applyFill="1" applyBorder="1" applyAlignment="1">
      <alignment horizontal="center"/>
    </xf>
    <xf numFmtId="0" fontId="0" fillId="51" borderId="13" xfId="0" applyFill="1" applyBorder="1" applyAlignment="1">
      <alignment horizontal="center" vertical="center"/>
    </xf>
    <xf numFmtId="0" fontId="0" fillId="51" borderId="64" xfId="0" applyFill="1" applyBorder="1" applyAlignment="1">
      <alignment horizontal="center" vertical="center"/>
    </xf>
    <xf numFmtId="1" fontId="0" fillId="51" borderId="64" xfId="0" applyNumberFormat="1" applyFill="1" applyBorder="1" applyAlignment="1">
      <alignment horizontal="center" vertical="center"/>
    </xf>
    <xf numFmtId="0" fontId="0" fillId="51" borderId="0" xfId="0" applyFill="1" applyAlignment="1">
      <alignment horizontal="center"/>
    </xf>
    <xf numFmtId="1" fontId="0" fillId="51" borderId="13" xfId="0" applyNumberFormat="1" applyFill="1" applyBorder="1" applyAlignment="1">
      <alignment horizontal="center" vertical="center"/>
    </xf>
    <xf numFmtId="1" fontId="100" fillId="7" borderId="65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6" xfId="0" applyNumberFormat="1" applyBorder="1" applyAlignment="1">
      <alignment horizontal="center" vertical="center"/>
    </xf>
    <xf numFmtId="166" fontId="58" fillId="8" borderId="64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0" fillId="0" borderId="0" xfId="0" applyNumberFormat="1" applyFont="1" applyAlignment="1">
      <alignment horizontal="center" vertical="center"/>
    </xf>
    <xf numFmtId="2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0" fillId="7" borderId="15" xfId="0" applyNumberFormat="1" applyFont="1" applyFill="1" applyBorder="1" applyAlignment="1">
      <alignment horizontal="center" vertical="center"/>
    </xf>
    <xf numFmtId="1" fontId="100" fillId="9" borderId="12" xfId="13" applyNumberFormat="1" applyFont="1" applyFill="1" applyBorder="1" applyAlignment="1">
      <alignment horizontal="center"/>
    </xf>
    <xf numFmtId="1" fontId="58" fillId="9" borderId="12" xfId="13" applyNumberFormat="1" applyFont="1" applyFill="1" applyBorder="1" applyAlignment="1">
      <alignment horizontal="center"/>
    </xf>
    <xf numFmtId="10" fontId="100" fillId="0" borderId="15" xfId="2" applyNumberFormat="1" applyFont="1" applyFill="1" applyBorder="1" applyAlignment="1">
      <alignment horizontal="center"/>
    </xf>
    <xf numFmtId="0" fontId="18" fillId="0" borderId="0" xfId="0" applyFont="1"/>
    <xf numFmtId="0" fontId="18" fillId="8" borderId="0" xfId="5" applyFont="1" applyFill="1"/>
    <xf numFmtId="0" fontId="18" fillId="0" borderId="0" xfId="0" applyFont="1" applyAlignment="1">
      <alignment horizontal="center"/>
    </xf>
    <xf numFmtId="0" fontId="18" fillId="4" borderId="1" xfId="0" applyFont="1" applyFill="1" applyBorder="1"/>
    <xf numFmtId="0" fontId="18" fillId="0" borderId="1" xfId="0" applyFont="1" applyBorder="1" applyAlignment="1">
      <alignment horizontal="center"/>
    </xf>
    <xf numFmtId="0" fontId="18" fillId="0" borderId="1" xfId="0" applyFont="1" applyBorder="1"/>
    <xf numFmtId="0" fontId="18" fillId="5" borderId="7" xfId="0" applyFont="1" applyFill="1" applyBorder="1" applyAlignment="1">
      <alignment vertical="center"/>
    </xf>
    <xf numFmtId="0" fontId="18" fillId="5" borderId="7" xfId="0" applyFont="1" applyFill="1" applyBorder="1" applyAlignment="1">
      <alignment horizontal="left"/>
    </xf>
    <xf numFmtId="0" fontId="18" fillId="5" borderId="7" xfId="0" applyFont="1" applyFill="1" applyBorder="1" applyAlignment="1">
      <alignment horizontal="center"/>
    </xf>
    <xf numFmtId="0" fontId="18" fillId="5" borderId="7" xfId="0" applyFont="1" applyFill="1" applyBorder="1" applyAlignment="1">
      <alignment horizontal="left" vertical="center"/>
    </xf>
    <xf numFmtId="0" fontId="18" fillId="5" borderId="7" xfId="0" applyFont="1" applyFill="1" applyBorder="1"/>
    <xf numFmtId="0" fontId="18" fillId="5" borderId="7" xfId="0" applyFont="1" applyFill="1" applyBorder="1" applyAlignment="1">
      <alignment horizontal="center" vertical="center"/>
    </xf>
    <xf numFmtId="0" fontId="17" fillId="0" borderId="0" xfId="0" applyFont="1"/>
    <xf numFmtId="0" fontId="16" fillId="5" borderId="7" xfId="0" applyFont="1" applyFill="1" applyBorder="1" applyAlignment="1">
      <alignment horizontal="left" vertical="center"/>
    </xf>
    <xf numFmtId="0" fontId="16" fillId="5" borderId="7" xfId="0" applyFont="1" applyFill="1" applyBorder="1"/>
    <xf numFmtId="0" fontId="16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vertical="center"/>
    </xf>
    <xf numFmtId="0" fontId="15" fillId="0" borderId="0" xfId="0" applyFont="1"/>
    <xf numFmtId="0" fontId="14" fillId="5" borderId="7" xfId="0" applyFont="1" applyFill="1" applyBorder="1" applyAlignment="1">
      <alignment vertical="center"/>
    </xf>
    <xf numFmtId="0" fontId="13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3" fillId="4" borderId="1" xfId="0" applyFont="1" applyFill="1" applyBorder="1"/>
    <xf numFmtId="0" fontId="13" fillId="0" borderId="0" xfId="0" applyFont="1"/>
    <xf numFmtId="10" fontId="94" fillId="0" borderId="7" xfId="2" applyNumberFormat="1" applyFont="1" applyBorder="1" applyAlignment="1">
      <alignment horizontal="center"/>
    </xf>
    <xf numFmtId="0" fontId="12" fillId="5" borderId="7" xfId="0" applyFont="1" applyFill="1" applyBorder="1" applyAlignment="1">
      <alignment vertical="center"/>
    </xf>
    <xf numFmtId="0" fontId="11" fillId="5" borderId="7" xfId="0" applyFont="1" applyFill="1" applyBorder="1" applyAlignment="1">
      <alignment horizontal="left"/>
    </xf>
    <xf numFmtId="10" fontId="109" fillId="11" borderId="15" xfId="0" applyNumberFormat="1" applyFont="1" applyFill="1" applyBorder="1" applyAlignment="1">
      <alignment horizontal="center"/>
    </xf>
    <xf numFmtId="1" fontId="109" fillId="11" borderId="15" xfId="0" applyNumberFormat="1" applyFont="1" applyFill="1" applyBorder="1" applyAlignment="1">
      <alignment horizontal="center"/>
    </xf>
    <xf numFmtId="166" fontId="109" fillId="0" borderId="15" xfId="1" applyNumberFormat="1" applyFont="1" applyFill="1" applyBorder="1" applyAlignment="1">
      <alignment horizontal="center"/>
    </xf>
    <xf numFmtId="43" fontId="109" fillId="0" borderId="15" xfId="1" applyFont="1" applyFill="1" applyBorder="1" applyAlignment="1">
      <alignment horizontal="center"/>
    </xf>
    <xf numFmtId="10" fontId="109" fillId="0" borderId="15" xfId="2" applyNumberFormat="1" applyFont="1" applyFill="1" applyBorder="1" applyAlignment="1">
      <alignment horizontal="center"/>
    </xf>
    <xf numFmtId="2" fontId="109" fillId="0" borderId="0" xfId="0" applyNumberFormat="1" applyFont="1" applyAlignment="1">
      <alignment horizontal="center"/>
    </xf>
    <xf numFmtId="0" fontId="109" fillId="0" borderId="0" xfId="0" applyFont="1" applyAlignment="1">
      <alignment horizontal="center"/>
    </xf>
    <xf numFmtId="174" fontId="108" fillId="51" borderId="15" xfId="13" applyNumberFormat="1" applyFont="1" applyFill="1" applyBorder="1" applyAlignment="1">
      <alignment horizontal="center" vertical="center"/>
    </xf>
    <xf numFmtId="174" fontId="108" fillId="53" borderId="15" xfId="41613" applyNumberFormat="1" applyFont="1" applyFill="1" applyBorder="1" applyAlignment="1">
      <alignment horizontal="center" vertical="center"/>
    </xf>
    <xf numFmtId="174" fontId="108" fillId="51" borderId="15" xfId="0" applyNumberFormat="1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vertical="center"/>
    </xf>
    <xf numFmtId="0" fontId="9" fillId="0" borderId="0" xfId="0" applyFont="1"/>
    <xf numFmtId="0" fontId="8" fillId="0" borderId="0" xfId="0" applyFont="1"/>
    <xf numFmtId="0" fontId="7" fillId="5" borderId="7" xfId="0" applyFont="1" applyFill="1" applyBorder="1" applyAlignment="1">
      <alignment vertical="center"/>
    </xf>
    <xf numFmtId="0" fontId="6" fillId="0" borderId="0" xfId="0" applyFont="1"/>
    <xf numFmtId="0" fontId="5" fillId="0" borderId="0" xfId="0" applyFont="1"/>
    <xf numFmtId="0" fontId="4" fillId="5" borderId="7" xfId="0" applyFont="1" applyFill="1" applyBorder="1" applyAlignment="1">
      <alignment vertical="center"/>
    </xf>
    <xf numFmtId="0" fontId="3" fillId="0" borderId="0" xfId="0" applyFont="1"/>
    <xf numFmtId="0" fontId="2" fillId="5" borderId="7" xfId="0" applyFont="1" applyFill="1" applyBorder="1" applyAlignment="1">
      <alignment horizontal="left" vertical="center"/>
    </xf>
    <xf numFmtId="0" fontId="2" fillId="5" borderId="7" xfId="0" applyFont="1" applyFill="1" applyBorder="1" applyAlignment="1">
      <alignment vertical="center"/>
    </xf>
    <xf numFmtId="0" fontId="1" fillId="0" borderId="0" xfId="0" applyFont="1"/>
    <xf numFmtId="164" fontId="109" fillId="11" borderId="15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6" fillId="16" borderId="17" xfId="0" applyFont="1" applyFill="1" applyBorder="1" applyAlignment="1">
      <alignment horizontal="center" vertical="center"/>
    </xf>
    <xf numFmtId="0" fontId="66" fillId="16" borderId="18" xfId="0" applyFont="1" applyFill="1" applyBorder="1" applyAlignment="1">
      <alignment horizontal="center" vertical="center"/>
    </xf>
    <xf numFmtId="0" fontId="66" fillId="16" borderId="19" xfId="0" applyFont="1" applyFill="1" applyBorder="1" applyAlignment="1">
      <alignment horizontal="center" vertical="center"/>
    </xf>
    <xf numFmtId="0" fontId="69" fillId="8" borderId="31" xfId="0" applyFont="1" applyFill="1" applyBorder="1" applyAlignment="1">
      <alignment horizontal="center" vertical="center"/>
    </xf>
    <xf numFmtId="0" fontId="69" fillId="8" borderId="34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/>
    </xf>
    <xf numFmtId="0" fontId="64" fillId="14" borderId="2" xfId="0" applyFont="1" applyFill="1" applyBorder="1" applyAlignment="1">
      <alignment horizontal="center" vertical="center"/>
    </xf>
    <xf numFmtId="0" fontId="64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30" totalsRowShown="0">
  <autoFilter ref="A1:AM130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1" totalsRowShown="0">
  <autoFilter ref="A1:X11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42" Type="http://schemas.openxmlformats.org/officeDocument/2006/relationships/hyperlink" Target="mailto:O@R1" TargetMode="External"/><Relationship Id="rId63" Type="http://schemas.openxmlformats.org/officeDocument/2006/relationships/hyperlink" Target="mailto:O@R1" TargetMode="External"/><Relationship Id="rId84" Type="http://schemas.openxmlformats.org/officeDocument/2006/relationships/hyperlink" Target="mailto:O@R1" TargetMode="External"/><Relationship Id="rId138" Type="http://schemas.openxmlformats.org/officeDocument/2006/relationships/hyperlink" Target="mailto:O@R1" TargetMode="External"/><Relationship Id="rId159" Type="http://schemas.openxmlformats.org/officeDocument/2006/relationships/hyperlink" Target="mailto:O@R1" TargetMode="External"/><Relationship Id="rId170" Type="http://schemas.openxmlformats.org/officeDocument/2006/relationships/hyperlink" Target="mailto:O@R1" TargetMode="External"/><Relationship Id="rId107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32" Type="http://schemas.openxmlformats.org/officeDocument/2006/relationships/hyperlink" Target="mailto:O@R1" TargetMode="External"/><Relationship Id="rId53" Type="http://schemas.openxmlformats.org/officeDocument/2006/relationships/hyperlink" Target="mailto:O@R1" TargetMode="External"/><Relationship Id="rId74" Type="http://schemas.openxmlformats.org/officeDocument/2006/relationships/hyperlink" Target="mailto:O@R1" TargetMode="External"/><Relationship Id="rId128" Type="http://schemas.openxmlformats.org/officeDocument/2006/relationships/hyperlink" Target="mailto:O@R1" TargetMode="External"/><Relationship Id="rId149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95" Type="http://schemas.openxmlformats.org/officeDocument/2006/relationships/hyperlink" Target="mailto:O@R1" TargetMode="External"/><Relationship Id="rId160" Type="http://schemas.openxmlformats.org/officeDocument/2006/relationships/hyperlink" Target="mailto:O@R1" TargetMode="External"/><Relationship Id="rId181" Type="http://schemas.openxmlformats.org/officeDocument/2006/relationships/hyperlink" Target="mailto:O@R1" TargetMode="External"/><Relationship Id="rId22" Type="http://schemas.openxmlformats.org/officeDocument/2006/relationships/hyperlink" Target="mailto:O@R1" TargetMode="External"/><Relationship Id="rId43" Type="http://schemas.openxmlformats.org/officeDocument/2006/relationships/hyperlink" Target="mailto:O@R1" TargetMode="External"/><Relationship Id="rId64" Type="http://schemas.openxmlformats.org/officeDocument/2006/relationships/hyperlink" Target="mailto:O@R1" TargetMode="External"/><Relationship Id="rId118" Type="http://schemas.openxmlformats.org/officeDocument/2006/relationships/hyperlink" Target="mailto:O@R1" TargetMode="External"/><Relationship Id="rId139" Type="http://schemas.openxmlformats.org/officeDocument/2006/relationships/hyperlink" Target="mailto:O@R1" TargetMode="External"/><Relationship Id="rId85" Type="http://schemas.openxmlformats.org/officeDocument/2006/relationships/hyperlink" Target="mailto:O@R1" TargetMode="External"/><Relationship Id="rId150" Type="http://schemas.openxmlformats.org/officeDocument/2006/relationships/hyperlink" Target="mailto:O@R1" TargetMode="External"/><Relationship Id="rId171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33" Type="http://schemas.openxmlformats.org/officeDocument/2006/relationships/hyperlink" Target="mailto:O@R1" TargetMode="External"/><Relationship Id="rId108" Type="http://schemas.openxmlformats.org/officeDocument/2006/relationships/hyperlink" Target="mailto:O@R1" TargetMode="External"/><Relationship Id="rId129" Type="http://schemas.openxmlformats.org/officeDocument/2006/relationships/hyperlink" Target="mailto:O@R1" TargetMode="External"/><Relationship Id="rId54" Type="http://schemas.openxmlformats.org/officeDocument/2006/relationships/hyperlink" Target="mailto:O@R1" TargetMode="External"/><Relationship Id="rId75" Type="http://schemas.openxmlformats.org/officeDocument/2006/relationships/hyperlink" Target="mailto:O@R1" TargetMode="External"/><Relationship Id="rId96" Type="http://schemas.openxmlformats.org/officeDocument/2006/relationships/hyperlink" Target="mailto:O@R1" TargetMode="External"/><Relationship Id="rId140" Type="http://schemas.openxmlformats.org/officeDocument/2006/relationships/hyperlink" Target="mailto:O@R1" TargetMode="External"/><Relationship Id="rId161" Type="http://schemas.openxmlformats.org/officeDocument/2006/relationships/hyperlink" Target="mailto:O@R1" TargetMode="External"/><Relationship Id="rId182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23" Type="http://schemas.openxmlformats.org/officeDocument/2006/relationships/hyperlink" Target="mailto:O@R1" TargetMode="External"/><Relationship Id="rId119" Type="http://schemas.openxmlformats.org/officeDocument/2006/relationships/hyperlink" Target="mailto:O@R1" TargetMode="External"/><Relationship Id="rId44" Type="http://schemas.openxmlformats.org/officeDocument/2006/relationships/hyperlink" Target="mailto:O@R1" TargetMode="External"/><Relationship Id="rId65" Type="http://schemas.openxmlformats.org/officeDocument/2006/relationships/hyperlink" Target="mailto:O@R1" TargetMode="External"/><Relationship Id="rId86" Type="http://schemas.openxmlformats.org/officeDocument/2006/relationships/hyperlink" Target="mailto:O@R1" TargetMode="External"/><Relationship Id="rId130" Type="http://schemas.openxmlformats.org/officeDocument/2006/relationships/hyperlink" Target="mailto:O@R1" TargetMode="External"/><Relationship Id="rId151" Type="http://schemas.openxmlformats.org/officeDocument/2006/relationships/hyperlink" Target="mailto:O@R1" TargetMode="External"/><Relationship Id="rId172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9" Type="http://schemas.openxmlformats.org/officeDocument/2006/relationships/hyperlink" Target="mailto:O@R1" TargetMode="External"/><Relationship Id="rId109" Type="http://schemas.openxmlformats.org/officeDocument/2006/relationships/hyperlink" Target="mailto:O@R1" TargetMode="External"/><Relationship Id="rId34" Type="http://schemas.openxmlformats.org/officeDocument/2006/relationships/hyperlink" Target="mailto:O@R1" TargetMode="External"/><Relationship Id="rId50" Type="http://schemas.openxmlformats.org/officeDocument/2006/relationships/hyperlink" Target="mailto:O@R1" TargetMode="External"/><Relationship Id="rId55" Type="http://schemas.openxmlformats.org/officeDocument/2006/relationships/hyperlink" Target="mailto:O@R1" TargetMode="External"/><Relationship Id="rId76" Type="http://schemas.openxmlformats.org/officeDocument/2006/relationships/hyperlink" Target="mailto:O@R1" TargetMode="External"/><Relationship Id="rId97" Type="http://schemas.openxmlformats.org/officeDocument/2006/relationships/hyperlink" Target="mailto:O@R1" TargetMode="External"/><Relationship Id="rId104" Type="http://schemas.openxmlformats.org/officeDocument/2006/relationships/hyperlink" Target="mailto:O@R1" TargetMode="External"/><Relationship Id="rId120" Type="http://schemas.openxmlformats.org/officeDocument/2006/relationships/hyperlink" Target="mailto:O@R1" TargetMode="External"/><Relationship Id="rId125" Type="http://schemas.openxmlformats.org/officeDocument/2006/relationships/hyperlink" Target="mailto:O@R1" TargetMode="External"/><Relationship Id="rId141" Type="http://schemas.openxmlformats.org/officeDocument/2006/relationships/hyperlink" Target="mailto:O@R1" TargetMode="External"/><Relationship Id="rId146" Type="http://schemas.openxmlformats.org/officeDocument/2006/relationships/hyperlink" Target="mailto:O@R1" TargetMode="External"/><Relationship Id="rId167" Type="http://schemas.openxmlformats.org/officeDocument/2006/relationships/hyperlink" Target="mailto:O@R1" TargetMode="External"/><Relationship Id="rId188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71" Type="http://schemas.openxmlformats.org/officeDocument/2006/relationships/hyperlink" Target="mailto:O@R1" TargetMode="External"/><Relationship Id="rId92" Type="http://schemas.openxmlformats.org/officeDocument/2006/relationships/hyperlink" Target="mailto:O@R1" TargetMode="External"/><Relationship Id="rId162" Type="http://schemas.openxmlformats.org/officeDocument/2006/relationships/hyperlink" Target="mailto:O@R1" TargetMode="External"/><Relationship Id="rId183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29" Type="http://schemas.openxmlformats.org/officeDocument/2006/relationships/hyperlink" Target="mailto:O@R1" TargetMode="External"/><Relationship Id="rId24" Type="http://schemas.openxmlformats.org/officeDocument/2006/relationships/hyperlink" Target="mailto:O@R1" TargetMode="External"/><Relationship Id="rId40" Type="http://schemas.openxmlformats.org/officeDocument/2006/relationships/hyperlink" Target="mailto:O@R1" TargetMode="External"/><Relationship Id="rId45" Type="http://schemas.openxmlformats.org/officeDocument/2006/relationships/hyperlink" Target="mailto:O@R1" TargetMode="External"/><Relationship Id="rId66" Type="http://schemas.openxmlformats.org/officeDocument/2006/relationships/hyperlink" Target="mailto:O@R1" TargetMode="External"/><Relationship Id="rId87" Type="http://schemas.openxmlformats.org/officeDocument/2006/relationships/hyperlink" Target="mailto:O@R1" TargetMode="External"/><Relationship Id="rId110" Type="http://schemas.openxmlformats.org/officeDocument/2006/relationships/hyperlink" Target="mailto:O@R1" TargetMode="External"/><Relationship Id="rId115" Type="http://schemas.openxmlformats.org/officeDocument/2006/relationships/hyperlink" Target="mailto:O@R1" TargetMode="External"/><Relationship Id="rId131" Type="http://schemas.openxmlformats.org/officeDocument/2006/relationships/hyperlink" Target="mailto:O@R1" TargetMode="External"/><Relationship Id="rId136" Type="http://schemas.openxmlformats.org/officeDocument/2006/relationships/hyperlink" Target="mailto:O@R1" TargetMode="External"/><Relationship Id="rId157" Type="http://schemas.openxmlformats.org/officeDocument/2006/relationships/hyperlink" Target="mailto:O@R1" TargetMode="External"/><Relationship Id="rId178" Type="http://schemas.openxmlformats.org/officeDocument/2006/relationships/hyperlink" Target="mailto:O@R1" TargetMode="External"/><Relationship Id="rId61" Type="http://schemas.openxmlformats.org/officeDocument/2006/relationships/hyperlink" Target="mailto:O@R1" TargetMode="External"/><Relationship Id="rId82" Type="http://schemas.openxmlformats.org/officeDocument/2006/relationships/hyperlink" Target="mailto:O@R1" TargetMode="External"/><Relationship Id="rId152" Type="http://schemas.openxmlformats.org/officeDocument/2006/relationships/hyperlink" Target="mailto:O@R1" TargetMode="External"/><Relationship Id="rId173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Relationship Id="rId30" Type="http://schemas.openxmlformats.org/officeDocument/2006/relationships/hyperlink" Target="mailto:O@R1" TargetMode="External"/><Relationship Id="rId35" Type="http://schemas.openxmlformats.org/officeDocument/2006/relationships/hyperlink" Target="mailto:O@R1" TargetMode="External"/><Relationship Id="rId56" Type="http://schemas.openxmlformats.org/officeDocument/2006/relationships/hyperlink" Target="mailto:O@R1" TargetMode="External"/><Relationship Id="rId77" Type="http://schemas.openxmlformats.org/officeDocument/2006/relationships/hyperlink" Target="mailto:O@R1" TargetMode="External"/><Relationship Id="rId100" Type="http://schemas.openxmlformats.org/officeDocument/2006/relationships/hyperlink" Target="mailto:O@R1" TargetMode="External"/><Relationship Id="rId105" Type="http://schemas.openxmlformats.org/officeDocument/2006/relationships/hyperlink" Target="mailto:O@R1" TargetMode="External"/><Relationship Id="rId126" Type="http://schemas.openxmlformats.org/officeDocument/2006/relationships/hyperlink" Target="mailto:O@R1" TargetMode="External"/><Relationship Id="rId147" Type="http://schemas.openxmlformats.org/officeDocument/2006/relationships/hyperlink" Target="mailto:O@R1" TargetMode="External"/><Relationship Id="rId168" Type="http://schemas.openxmlformats.org/officeDocument/2006/relationships/hyperlink" Target="mailto:O@R1" TargetMode="External"/><Relationship Id="rId8" Type="http://schemas.openxmlformats.org/officeDocument/2006/relationships/hyperlink" Target="mailto:O@R1" TargetMode="External"/><Relationship Id="rId51" Type="http://schemas.openxmlformats.org/officeDocument/2006/relationships/hyperlink" Target="mailto:O@R1" TargetMode="External"/><Relationship Id="rId72" Type="http://schemas.openxmlformats.org/officeDocument/2006/relationships/hyperlink" Target="mailto:O@R1" TargetMode="External"/><Relationship Id="rId93" Type="http://schemas.openxmlformats.org/officeDocument/2006/relationships/hyperlink" Target="mailto:O@R1" TargetMode="External"/><Relationship Id="rId98" Type="http://schemas.openxmlformats.org/officeDocument/2006/relationships/hyperlink" Target="mailto:O@R1" TargetMode="External"/><Relationship Id="rId121" Type="http://schemas.openxmlformats.org/officeDocument/2006/relationships/hyperlink" Target="mailto:O@R1" TargetMode="External"/><Relationship Id="rId142" Type="http://schemas.openxmlformats.org/officeDocument/2006/relationships/hyperlink" Target="mailto:O@R1" TargetMode="External"/><Relationship Id="rId163" Type="http://schemas.openxmlformats.org/officeDocument/2006/relationships/hyperlink" Target="mailto:O@R1" TargetMode="External"/><Relationship Id="rId184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5" Type="http://schemas.openxmlformats.org/officeDocument/2006/relationships/hyperlink" Target="mailto:O@R1" TargetMode="External"/><Relationship Id="rId46" Type="http://schemas.openxmlformats.org/officeDocument/2006/relationships/hyperlink" Target="mailto:O@R1" TargetMode="External"/><Relationship Id="rId67" Type="http://schemas.openxmlformats.org/officeDocument/2006/relationships/hyperlink" Target="mailto:O@R1" TargetMode="External"/><Relationship Id="rId116" Type="http://schemas.openxmlformats.org/officeDocument/2006/relationships/hyperlink" Target="mailto:O@R1" TargetMode="External"/><Relationship Id="rId137" Type="http://schemas.openxmlformats.org/officeDocument/2006/relationships/hyperlink" Target="mailto:O@R1" TargetMode="External"/><Relationship Id="rId158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41" Type="http://schemas.openxmlformats.org/officeDocument/2006/relationships/hyperlink" Target="mailto:O@R1" TargetMode="External"/><Relationship Id="rId62" Type="http://schemas.openxmlformats.org/officeDocument/2006/relationships/hyperlink" Target="mailto:O@R1" TargetMode="External"/><Relationship Id="rId83" Type="http://schemas.openxmlformats.org/officeDocument/2006/relationships/hyperlink" Target="mailto:O@R1" TargetMode="External"/><Relationship Id="rId88" Type="http://schemas.openxmlformats.org/officeDocument/2006/relationships/hyperlink" Target="mailto:O@R1" TargetMode="External"/><Relationship Id="rId111" Type="http://schemas.openxmlformats.org/officeDocument/2006/relationships/hyperlink" Target="mailto:O@R1" TargetMode="External"/><Relationship Id="rId132" Type="http://schemas.openxmlformats.org/officeDocument/2006/relationships/hyperlink" Target="mailto:O@R1" TargetMode="External"/><Relationship Id="rId153" Type="http://schemas.openxmlformats.org/officeDocument/2006/relationships/hyperlink" Target="mailto:O@R1" TargetMode="External"/><Relationship Id="rId174" Type="http://schemas.openxmlformats.org/officeDocument/2006/relationships/hyperlink" Target="mailto:O@R1" TargetMode="External"/><Relationship Id="rId179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36" Type="http://schemas.openxmlformats.org/officeDocument/2006/relationships/hyperlink" Target="mailto:O@R1" TargetMode="External"/><Relationship Id="rId57" Type="http://schemas.openxmlformats.org/officeDocument/2006/relationships/hyperlink" Target="mailto:O@R1" TargetMode="External"/><Relationship Id="rId106" Type="http://schemas.openxmlformats.org/officeDocument/2006/relationships/hyperlink" Target="mailto:O@R1" TargetMode="External"/><Relationship Id="rId127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31" Type="http://schemas.openxmlformats.org/officeDocument/2006/relationships/hyperlink" Target="mailto:O@R1" TargetMode="External"/><Relationship Id="rId52" Type="http://schemas.openxmlformats.org/officeDocument/2006/relationships/hyperlink" Target="mailto:O@R1" TargetMode="External"/><Relationship Id="rId73" Type="http://schemas.openxmlformats.org/officeDocument/2006/relationships/hyperlink" Target="mailto:O@R1" TargetMode="External"/><Relationship Id="rId78" Type="http://schemas.openxmlformats.org/officeDocument/2006/relationships/hyperlink" Target="mailto:O@R1" TargetMode="External"/><Relationship Id="rId94" Type="http://schemas.openxmlformats.org/officeDocument/2006/relationships/hyperlink" Target="mailto:O@R1" TargetMode="External"/><Relationship Id="rId99" Type="http://schemas.openxmlformats.org/officeDocument/2006/relationships/hyperlink" Target="mailto:O@R1" TargetMode="External"/><Relationship Id="rId101" Type="http://schemas.openxmlformats.org/officeDocument/2006/relationships/hyperlink" Target="mailto:O@R1" TargetMode="External"/><Relationship Id="rId122" Type="http://schemas.openxmlformats.org/officeDocument/2006/relationships/hyperlink" Target="mailto:O@R1" TargetMode="External"/><Relationship Id="rId143" Type="http://schemas.openxmlformats.org/officeDocument/2006/relationships/hyperlink" Target="mailto:O@R1" TargetMode="External"/><Relationship Id="rId148" Type="http://schemas.openxmlformats.org/officeDocument/2006/relationships/hyperlink" Target="mailto:O@R1" TargetMode="External"/><Relationship Id="rId164" Type="http://schemas.openxmlformats.org/officeDocument/2006/relationships/hyperlink" Target="mailto:O@R1" TargetMode="External"/><Relationship Id="rId169" Type="http://schemas.openxmlformats.org/officeDocument/2006/relationships/hyperlink" Target="mailto:O@R1" TargetMode="External"/><Relationship Id="rId18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80" Type="http://schemas.openxmlformats.org/officeDocument/2006/relationships/hyperlink" Target="mailto:O@R1" TargetMode="External"/><Relationship Id="rId26" Type="http://schemas.openxmlformats.org/officeDocument/2006/relationships/hyperlink" Target="mailto:O@R1" TargetMode="External"/><Relationship Id="rId47" Type="http://schemas.openxmlformats.org/officeDocument/2006/relationships/hyperlink" Target="mailto:O@R1" TargetMode="External"/><Relationship Id="rId68" Type="http://schemas.openxmlformats.org/officeDocument/2006/relationships/hyperlink" Target="mailto:O@R1" TargetMode="External"/><Relationship Id="rId89" Type="http://schemas.openxmlformats.org/officeDocument/2006/relationships/hyperlink" Target="mailto:O@R1" TargetMode="External"/><Relationship Id="rId112" Type="http://schemas.openxmlformats.org/officeDocument/2006/relationships/hyperlink" Target="mailto:O@R1" TargetMode="External"/><Relationship Id="rId133" Type="http://schemas.openxmlformats.org/officeDocument/2006/relationships/hyperlink" Target="mailto:O@R1" TargetMode="External"/><Relationship Id="rId154" Type="http://schemas.openxmlformats.org/officeDocument/2006/relationships/hyperlink" Target="mailto:O@R1" TargetMode="External"/><Relationship Id="rId175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37" Type="http://schemas.openxmlformats.org/officeDocument/2006/relationships/hyperlink" Target="mailto:O@R1" TargetMode="External"/><Relationship Id="rId58" Type="http://schemas.openxmlformats.org/officeDocument/2006/relationships/hyperlink" Target="mailto:O@R1" TargetMode="External"/><Relationship Id="rId79" Type="http://schemas.openxmlformats.org/officeDocument/2006/relationships/hyperlink" Target="mailto:O@R1" TargetMode="External"/><Relationship Id="rId102" Type="http://schemas.openxmlformats.org/officeDocument/2006/relationships/hyperlink" Target="mailto:O@R1" TargetMode="External"/><Relationship Id="rId123" Type="http://schemas.openxmlformats.org/officeDocument/2006/relationships/hyperlink" Target="mailto:O@R1" TargetMode="External"/><Relationship Id="rId144" Type="http://schemas.openxmlformats.org/officeDocument/2006/relationships/hyperlink" Target="mailto:O@R1" TargetMode="External"/><Relationship Id="rId90" Type="http://schemas.openxmlformats.org/officeDocument/2006/relationships/hyperlink" Target="mailto:O@R1" TargetMode="External"/><Relationship Id="rId165" Type="http://schemas.openxmlformats.org/officeDocument/2006/relationships/hyperlink" Target="mailto:O@R1" TargetMode="External"/><Relationship Id="rId186" Type="http://schemas.openxmlformats.org/officeDocument/2006/relationships/hyperlink" Target="mailto:O@R1" TargetMode="External"/><Relationship Id="rId27" Type="http://schemas.openxmlformats.org/officeDocument/2006/relationships/hyperlink" Target="mailto:O@R1" TargetMode="External"/><Relationship Id="rId48" Type="http://schemas.openxmlformats.org/officeDocument/2006/relationships/hyperlink" Target="mailto:O@R1" TargetMode="External"/><Relationship Id="rId69" Type="http://schemas.openxmlformats.org/officeDocument/2006/relationships/hyperlink" Target="mailto:O@R1" TargetMode="External"/><Relationship Id="rId113" Type="http://schemas.openxmlformats.org/officeDocument/2006/relationships/hyperlink" Target="mailto:O@R1" TargetMode="External"/><Relationship Id="rId134" Type="http://schemas.openxmlformats.org/officeDocument/2006/relationships/hyperlink" Target="mailto:O@R1" TargetMode="External"/><Relationship Id="rId80" Type="http://schemas.openxmlformats.org/officeDocument/2006/relationships/hyperlink" Target="mailto:O@R1" TargetMode="External"/><Relationship Id="rId155" Type="http://schemas.openxmlformats.org/officeDocument/2006/relationships/hyperlink" Target="mailto:O@R1" TargetMode="External"/><Relationship Id="rId176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38" Type="http://schemas.openxmlformats.org/officeDocument/2006/relationships/hyperlink" Target="mailto:O@R1" TargetMode="External"/><Relationship Id="rId59" Type="http://schemas.openxmlformats.org/officeDocument/2006/relationships/hyperlink" Target="mailto:O@R1" TargetMode="External"/><Relationship Id="rId103" Type="http://schemas.openxmlformats.org/officeDocument/2006/relationships/hyperlink" Target="mailto:O@R1" TargetMode="External"/><Relationship Id="rId124" Type="http://schemas.openxmlformats.org/officeDocument/2006/relationships/hyperlink" Target="mailto:O@R1" TargetMode="External"/><Relationship Id="rId70" Type="http://schemas.openxmlformats.org/officeDocument/2006/relationships/hyperlink" Target="mailto:O@R1" TargetMode="External"/><Relationship Id="rId91" Type="http://schemas.openxmlformats.org/officeDocument/2006/relationships/hyperlink" Target="mailto:O@R1" TargetMode="External"/><Relationship Id="rId145" Type="http://schemas.openxmlformats.org/officeDocument/2006/relationships/hyperlink" Target="mailto:O@R1" TargetMode="External"/><Relationship Id="rId166" Type="http://schemas.openxmlformats.org/officeDocument/2006/relationships/hyperlink" Target="mailto:O@R1" TargetMode="External"/><Relationship Id="rId187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28" Type="http://schemas.openxmlformats.org/officeDocument/2006/relationships/hyperlink" Target="mailto:O@R1" TargetMode="External"/><Relationship Id="rId49" Type="http://schemas.openxmlformats.org/officeDocument/2006/relationships/hyperlink" Target="mailto:O@R1" TargetMode="External"/><Relationship Id="rId114" Type="http://schemas.openxmlformats.org/officeDocument/2006/relationships/hyperlink" Target="mailto:O@R1" TargetMode="External"/><Relationship Id="rId60" Type="http://schemas.openxmlformats.org/officeDocument/2006/relationships/hyperlink" Target="mailto:O@R1" TargetMode="External"/><Relationship Id="rId81" Type="http://schemas.openxmlformats.org/officeDocument/2006/relationships/hyperlink" Target="mailto:O@R1" TargetMode="External"/><Relationship Id="rId135" Type="http://schemas.openxmlformats.org/officeDocument/2006/relationships/hyperlink" Target="mailto:O@R1" TargetMode="External"/><Relationship Id="rId156" Type="http://schemas.openxmlformats.org/officeDocument/2006/relationships/hyperlink" Target="mailto:O@R1" TargetMode="External"/><Relationship Id="rId177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" zoomScaleNormal="100" workbookViewId="0">
      <selection activeCell="E14" sqref="E14"/>
    </sheetView>
  </sheetViews>
  <sheetFormatPr defaultColWidth="9" defaultRowHeight="15"/>
  <cols>
    <col min="1" max="1" width="17" style="127" customWidth="1"/>
    <col min="2" max="2" width="19.140625" style="128" bestFit="1" customWidth="1"/>
    <col min="3" max="3" width="13.85546875" style="128" customWidth="1"/>
    <col min="4" max="4" width="12.140625" style="129" customWidth="1"/>
    <col min="5" max="5" width="13" style="127" customWidth="1"/>
    <col min="6" max="6" width="32.85546875" style="128" customWidth="1"/>
    <col min="7" max="7" width="18" style="128" hidden="1" customWidth="1"/>
    <col min="8" max="8" width="15.85546875" style="128" hidden="1" customWidth="1"/>
    <col min="9" max="9" width="18" style="128" hidden="1" customWidth="1"/>
    <col min="10" max="16384" width="9" style="128"/>
  </cols>
  <sheetData>
    <row r="1" spans="1:9" ht="3.95" hidden="1" customHeight="1"/>
    <row r="2" spans="1:9" ht="15.75" thickBot="1"/>
    <row r="3" spans="1:9" ht="15.75">
      <c r="A3" s="337" t="s">
        <v>0</v>
      </c>
      <c r="B3" s="338"/>
      <c r="C3" s="338"/>
      <c r="D3" s="338"/>
      <c r="E3" s="338"/>
      <c r="F3" s="339"/>
    </row>
    <row r="4" spans="1:9">
      <c r="A4" s="78" t="s">
        <v>1</v>
      </c>
      <c r="B4" s="239">
        <v>45839</v>
      </c>
      <c r="C4" s="80"/>
      <c r="D4" s="80"/>
      <c r="E4" s="80"/>
      <c r="F4" s="81"/>
    </row>
    <row r="5" spans="1:9">
      <c r="A5" s="78" t="s">
        <v>2</v>
      </c>
      <c r="B5" s="240">
        <v>45868</v>
      </c>
      <c r="C5" s="80"/>
      <c r="D5" s="80"/>
      <c r="E5" s="80"/>
      <c r="F5" s="81"/>
    </row>
    <row r="6" spans="1:9">
      <c r="A6" s="78" t="s">
        <v>3</v>
      </c>
      <c r="B6" s="124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57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36" t="s">
        <v>12</v>
      </c>
      <c r="H10" s="236" t="s">
        <v>13</v>
      </c>
      <c r="I10" s="237" t="s">
        <v>14</v>
      </c>
    </row>
    <row r="11" spans="1:9">
      <c r="A11" s="340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424.5840000000166</v>
      </c>
      <c r="E11" s="94">
        <f>D11/C11-1</f>
        <v>8.3649979529900609E-3</v>
      </c>
      <c r="F11" s="241"/>
      <c r="G11" s="187">
        <f>_xlfn.XLOOKUP($B$5,'Daily KPI'!$A:$A,'Daily KPI'!$AS:$AS)/1000</f>
        <v>417.98482853417795</v>
      </c>
      <c r="H11" s="187">
        <f>_xlfn.XLOOKUP($B$4,'Modelling New'!$D:$D,'Modelling New'!$AM:$AM)/1000</f>
        <v>12473.567707964585</v>
      </c>
      <c r="I11" s="187">
        <f>_xlfn.XLOOKUP($B$4,'Modelling New'!$D:$D,'Modelling New'!$AN:$AN)/1000</f>
        <v>64504.839823891671</v>
      </c>
    </row>
    <row r="12" spans="1:9">
      <c r="A12" s="341"/>
      <c r="B12" s="95" t="s">
        <v>16</v>
      </c>
      <c r="C12" s="96">
        <f>MonthlyKPI!E4</f>
        <v>12631.854562443192</v>
      </c>
      <c r="D12" s="97">
        <f>MonthlyKPI!F4</f>
        <v>11978.496000000016</v>
      </c>
      <c r="E12" s="98">
        <f>D12/C12-1</f>
        <v>-5.1723090953384676E-2</v>
      </c>
      <c r="F12" s="242"/>
    </row>
    <row r="13" spans="1:9" ht="15.75" thickBot="1">
      <c r="A13" s="342"/>
      <c r="B13" s="100" t="s">
        <v>17</v>
      </c>
      <c r="C13" s="101">
        <f>AnnualKPI!E4</f>
        <v>72639.788591487115</v>
      </c>
      <c r="D13" s="102">
        <f>AnnualKPI!F4</f>
        <v>57878.639999999985</v>
      </c>
      <c r="E13" s="103">
        <f>D13/C13-1</f>
        <v>-0.20321023612143385</v>
      </c>
      <c r="F13" s="243"/>
    </row>
    <row r="14" spans="1:9">
      <c r="A14" s="340">
        <v>2</v>
      </c>
      <c r="B14" s="92" t="s">
        <v>18</v>
      </c>
      <c r="C14" s="181">
        <f>_xlfn.XLOOKUP($B$5,'Daily KPI'!$A:$A,'Daily KPI'!$AC:$AC)</f>
        <v>3.7967741935483872</v>
      </c>
      <c r="D14" s="182">
        <f>_xlfn.XLOOKUP($B$5,'Daily KPI'!$A:$A,'Daily KPI'!$I:$I)</f>
        <v>3.8332385749999989</v>
      </c>
      <c r="E14" s="94">
        <f t="shared" ref="E14:E25" si="0">(D14-C14)/(C14)</f>
        <v>9.6040426932876982E-3</v>
      </c>
      <c r="F14" s="241"/>
    </row>
    <row r="15" spans="1:9">
      <c r="A15" s="341"/>
      <c r="B15" s="95" t="s">
        <v>19</v>
      </c>
      <c r="C15" s="183">
        <f>MonthlyKPI!C4</f>
        <v>113.90322580645162</v>
      </c>
      <c r="D15" s="184">
        <f>MonthlyKPI!D4</f>
        <v>110.39280179167467</v>
      </c>
      <c r="E15" s="98">
        <f t="shared" si="0"/>
        <v>-3.0819355553125257E-2</v>
      </c>
      <c r="F15" s="242"/>
    </row>
    <row r="16" spans="1:9" ht="15.75" thickBot="1">
      <c r="A16" s="342"/>
      <c r="B16" s="100" t="s">
        <v>20</v>
      </c>
      <c r="C16" s="185">
        <f>AnnualKPI!C4</f>
        <v>690.80322580645156</v>
      </c>
      <c r="D16" s="186">
        <f>AnnualKPI!D4</f>
        <v>622.53353231667472</v>
      </c>
      <c r="E16" s="103">
        <f t="shared" si="0"/>
        <v>-9.8826541248527064E-2</v>
      </c>
      <c r="F16" s="243"/>
    </row>
    <row r="17" spans="1:13">
      <c r="A17" s="340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0.85830129028117774</v>
      </c>
      <c r="E17" s="94">
        <f t="shared" si="0"/>
        <v>6.1251952487959291E-3</v>
      </c>
      <c r="F17" s="241"/>
    </row>
    <row r="18" spans="1:13">
      <c r="A18" s="341"/>
      <c r="B18" s="95" t="s">
        <v>22</v>
      </c>
      <c r="C18" s="106">
        <f>MonthlyKPI!M4</f>
        <v>0.85307603301688106</v>
      </c>
      <c r="D18" s="107">
        <f>MonthlyKPI!N4</f>
        <v>0.84082095629073283</v>
      </c>
      <c r="E18" s="98">
        <f t="shared" si="0"/>
        <v>-1.4365749654000325E-2</v>
      </c>
      <c r="F18" s="242"/>
    </row>
    <row r="19" spans="1:13" ht="15.75" thickBot="1">
      <c r="A19" s="342"/>
      <c r="B19" s="100" t="s">
        <v>23</v>
      </c>
      <c r="C19" s="108">
        <f>AnnualKPI!M4</f>
        <v>0.85307603301688106</v>
      </c>
      <c r="D19" s="109">
        <f>AnnualKPI!N4</f>
        <v>0.72589574298548465</v>
      </c>
      <c r="E19" s="103">
        <f t="shared" si="0"/>
        <v>-0.14908435486298524</v>
      </c>
      <c r="F19" s="243"/>
    </row>
    <row r="20" spans="1:13">
      <c r="A20" s="340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0.99830031701906463</v>
      </c>
      <c r="E20" s="94">
        <f t="shared" si="0"/>
        <v>3.3169015266981267E-3</v>
      </c>
      <c r="F20" s="241"/>
    </row>
    <row r="21" spans="1:13" ht="12" customHeight="1">
      <c r="A21" s="341"/>
      <c r="B21" s="95" t="s">
        <v>25</v>
      </c>
      <c r="C21" s="107">
        <f>_xlfn.XLOOKUP($B$4,'Modelling New'!$D:$D,'Modelling New'!$AE:$AE,0)</f>
        <v>0.995</v>
      </c>
      <c r="D21" s="107">
        <f>MonthlyKPI!L4</f>
        <v>0.99427104792591636</v>
      </c>
      <c r="E21" s="98">
        <f t="shared" si="0"/>
        <v>-7.3261514983279704E-4</v>
      </c>
      <c r="F21" s="242"/>
    </row>
    <row r="22" spans="1:13" ht="15.75" thickBot="1">
      <c r="A22" s="342"/>
      <c r="B22" s="100" t="s">
        <v>26</v>
      </c>
      <c r="C22" s="109">
        <f>_xlfn.XLOOKUP($B$4,'Modelling New'!$D:$D,'Modelling New'!$AE:$AE,0)</f>
        <v>0.995</v>
      </c>
      <c r="D22" s="109">
        <f>AnnualKPI!L4</f>
        <v>0.98492378942611869</v>
      </c>
      <c r="E22" s="103">
        <f t="shared" si="0"/>
        <v>-1.012684479787066E-2</v>
      </c>
      <c r="F22" s="243"/>
      <c r="M22" s="288" t="s">
        <v>27</v>
      </c>
    </row>
    <row r="23" spans="1:13">
      <c r="A23" s="340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41"/>
      <c r="I23" s="128">
        <v>0</v>
      </c>
    </row>
    <row r="24" spans="1:13">
      <c r="A24" s="341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42"/>
    </row>
    <row r="25" spans="1:13" ht="15.75" thickBot="1">
      <c r="A25" s="342"/>
      <c r="B25" s="100" t="s">
        <v>30</v>
      </c>
      <c r="C25" s="109">
        <f>_xlfn.XLOOKUP($B$4,'Modelling New'!$D:$D,'Modelling New'!$AF:$AF,0)</f>
        <v>0.995</v>
      </c>
      <c r="D25" s="109">
        <f>AnnualKPI!J4</f>
        <v>0.99008085947586055</v>
      </c>
      <c r="E25" s="103">
        <f t="shared" si="0"/>
        <v>-4.9438598232557215E-3</v>
      </c>
      <c r="F25" s="243"/>
    </row>
    <row r="26" spans="1:13">
      <c r="A26" s="340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0.13608461538462069</v>
      </c>
      <c r="E26" s="94">
        <f t="shared" ref="E26:E28" si="1">(D26-C26)/(C26)</f>
        <v>8.3649979529898475E-3</v>
      </c>
      <c r="F26" s="241"/>
    </row>
    <row r="27" spans="1:13">
      <c r="A27" s="341"/>
      <c r="B27" s="95" t="s">
        <v>32</v>
      </c>
      <c r="C27" s="106">
        <f>MonthlyKPI!G4</f>
        <v>0.13495571113721358</v>
      </c>
      <c r="D27" s="107">
        <f>MonthlyKPI!H4</f>
        <v>0.1279753846153848</v>
      </c>
      <c r="E27" s="98">
        <f t="shared" si="1"/>
        <v>-5.1723090953384503E-2</v>
      </c>
      <c r="F27" s="242"/>
    </row>
    <row r="28" spans="1:13" ht="15.75" thickBot="1">
      <c r="A28" s="342"/>
      <c r="B28" s="100" t="s">
        <v>33</v>
      </c>
      <c r="C28" s="108">
        <f>AnnualKPI!G4</f>
        <v>0.19241308696621931</v>
      </c>
      <c r="D28" s="109">
        <f>AnnualKPI!H4</f>
        <v>0.15331277813095989</v>
      </c>
      <c r="E28" s="103">
        <f t="shared" si="1"/>
        <v>-0.20321023612143388</v>
      </c>
      <c r="F28" s="243"/>
    </row>
    <row r="30" spans="1:13" ht="15.75" thickBot="1"/>
    <row r="31" spans="1:13" ht="15.75">
      <c r="A31" s="337" t="s">
        <v>34</v>
      </c>
      <c r="B31" s="338"/>
      <c r="C31" s="338"/>
      <c r="D31" s="338"/>
      <c r="E31" s="338"/>
      <c r="F31" s="339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45868</v>
      </c>
      <c r="C33" s="80"/>
      <c r="D33" s="80"/>
      <c r="E33" s="80"/>
      <c r="F33" s="81"/>
    </row>
    <row r="34" spans="1:6">
      <c r="A34" s="78" t="s">
        <v>3</v>
      </c>
      <c r="B34" s="124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0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59" t="s">
        <v>36</v>
      </c>
      <c r="B39" s="95" t="s">
        <v>16</v>
      </c>
      <c r="C39" s="96">
        <f>$C$12*_xlfn.XLOOKUP(A39,'Basic Data'!AE:AE,'Basic Data'!AH:AH)*1000</f>
        <v>5010956.2716107462</v>
      </c>
      <c r="D39" s="96">
        <f>SUMIFS(RD[O2R15],RD[Month Year],$B$32)</f>
        <v>4796451.6999999993</v>
      </c>
      <c r="E39" s="98">
        <f>D39/C39-1</f>
        <v>-4.280711305065843E-2</v>
      </c>
      <c r="F39" s="99"/>
    </row>
    <row r="40" spans="1:6">
      <c r="A40" s="159" t="s">
        <v>37</v>
      </c>
      <c r="B40" s="95" t="s">
        <v>16</v>
      </c>
      <c r="C40" s="96">
        <f>$C$12*_xlfn.XLOOKUP(A40,'Basic Data'!AE:AE,'Basic Data'!AH:AH)*1000</f>
        <v>726671.41269288154</v>
      </c>
      <c r="D40" s="96">
        <f>SUMIFS(RD[O2R17],RD[Month Year],$B$32)</f>
        <v>704082.4</v>
      </c>
      <c r="E40" s="98">
        <f t="shared" ref="E40:E43" si="2">D40/C40-1</f>
        <v>-3.1085594256655469E-2</v>
      </c>
      <c r="F40" s="99"/>
    </row>
    <row r="41" spans="1:6">
      <c r="A41" s="159" t="s">
        <v>38</v>
      </c>
      <c r="B41" s="95" t="s">
        <v>16</v>
      </c>
      <c r="C41" s="96">
        <f>$C$12*_xlfn.XLOOKUP(A41,'Basic Data'!AE:AE,'Basic Data'!AH:AH)*1000</f>
        <v>715767.44722910842</v>
      </c>
      <c r="D41" s="96">
        <f>SUMIFS(RD[O2R11],RD[Month Year],$B$32)</f>
        <v>697062.6</v>
      </c>
      <c r="E41" s="98">
        <f t="shared" si="2"/>
        <v>-2.6132576022448339E-2</v>
      </c>
      <c r="F41" s="99"/>
    </row>
    <row r="42" spans="1:6">
      <c r="A42" s="159" t="s">
        <v>39</v>
      </c>
      <c r="B42" s="95" t="s">
        <v>16</v>
      </c>
      <c r="C42" s="96">
        <f>$C$12*_xlfn.XLOOKUP(A42,'Basic Data'!AE:AE,'Basic Data'!AH:AH)*1000</f>
        <v>289149.79845898418</v>
      </c>
      <c r="D42" s="96">
        <f>SUMIFS(RD[O2R6],RD[Month Year],$B$32)</f>
        <v>283178.89999999997</v>
      </c>
      <c r="E42" s="98">
        <f t="shared" si="2"/>
        <v>-2.0649844789123017E-2</v>
      </c>
      <c r="F42" s="99"/>
    </row>
    <row r="43" spans="1:6">
      <c r="A43" s="159" t="s">
        <v>40</v>
      </c>
      <c r="B43" s="95" t="s">
        <v>16</v>
      </c>
      <c r="C43" s="96">
        <f>$C$12*_xlfn.XLOOKUP(A43,'Basic Data'!AE:AE,'Basic Data'!AH:AH)*1000</f>
        <v>1394149.8700109946</v>
      </c>
      <c r="D43" s="96">
        <f>SUMIFS(RD[O2R12],RD[Month Year],$B$32)</f>
        <v>1355903.6000000003</v>
      </c>
      <c r="E43" s="98">
        <f t="shared" si="2"/>
        <v>-2.7433399259071511E-2</v>
      </c>
      <c r="F43" s="99"/>
    </row>
    <row r="44" spans="1:6">
      <c r="A44" s="159" t="s">
        <v>41</v>
      </c>
      <c r="B44" s="95" t="s">
        <v>16</v>
      </c>
      <c r="C44" s="96">
        <f>$C$12*_xlfn.XLOOKUP(A44,'Basic Data'!AE:AE,'Basic Data'!AH:AH)*1000</f>
        <v>3220466.7283584978</v>
      </c>
      <c r="D44" s="96">
        <f>SUMIFS(RD[O2R14],RD[Month Year],$B$32)</f>
        <v>3098960.4</v>
      </c>
      <c r="E44" s="98">
        <f t="shared" ref="E44" si="3">D44/C44-1</f>
        <v>-3.7729415829248714E-2</v>
      </c>
      <c r="F44" s="99"/>
    </row>
    <row r="45" spans="1:6">
      <c r="A45" s="159" t="s">
        <v>42</v>
      </c>
      <c r="B45" s="95" t="s">
        <v>16</v>
      </c>
      <c r="C45" s="96">
        <f>$C$12*_xlfn.XLOOKUP(A45,'Basic Data'!AE:AE,'Basic Data'!AH:AH)*1000</f>
        <v>600691.66885250248</v>
      </c>
      <c r="D45" s="96">
        <f>SUMIFS(RD[O2R24],RD[Month Year],$B$32)</f>
        <v>614567.90000000014</v>
      </c>
      <c r="E45" s="98">
        <f t="shared" ref="E45:E46" si="4">D45/C45-1</f>
        <v>2.3100422174999302E-2</v>
      </c>
      <c r="F45" s="99"/>
    </row>
    <row r="46" spans="1:6">
      <c r="A46" s="159" t="s">
        <v>43</v>
      </c>
      <c r="B46" s="95" t="s">
        <v>16</v>
      </c>
      <c r="C46" s="96">
        <f>$C$12*_xlfn.XLOOKUP(A46,'Basic Data'!AE:AE,'Basic Data'!AH:AH)*1000</f>
        <v>674001.36522947741</v>
      </c>
      <c r="D46" s="96">
        <f>SUMIFS(RD[O2R26],RD[Month Year],$B$32)</f>
        <v>676837.4</v>
      </c>
      <c r="E46" s="98">
        <f t="shared" si="4"/>
        <v>4.2077581987642887E-3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6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5546875" defaultRowHeight="15"/>
  <cols>
    <col min="1" max="1" width="11" customWidth="1"/>
    <col min="2" max="2" width="10.140625" customWidth="1"/>
    <col min="3" max="3" width="14.140625" customWidth="1"/>
    <col min="4" max="5" width="13.140625" customWidth="1"/>
    <col min="6" max="6" width="14" customWidth="1"/>
    <col min="7" max="7" width="9.85546875" customWidth="1"/>
    <col min="8" max="8" width="10.140625" customWidth="1"/>
    <col min="10" max="10" width="9.140625" customWidth="1"/>
    <col min="11" max="11" width="9" customWidth="1"/>
    <col min="12" max="12" width="9.140625" customWidth="1"/>
    <col min="13" max="13" width="9.85546875" customWidth="1"/>
    <col min="14" max="14" width="10.140625" customWidth="1"/>
  </cols>
  <sheetData>
    <row r="1" spans="1:14">
      <c r="A1" s="63" t="s">
        <v>44</v>
      </c>
      <c r="B1" s="64">
        <f>O2Summary!B5</f>
        <v>45868</v>
      </c>
      <c r="C1" s="79">
        <f>O2Summary!B4</f>
        <v>45839</v>
      </c>
    </row>
    <row r="2" spans="1:14" ht="21">
      <c r="A2" s="343" t="s">
        <v>45</v>
      </c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6">
        <f>YEAR(B1)+IF(MONTH(B1)&gt;=4,1,0)</f>
        <v>2026</v>
      </c>
      <c r="B4" s="69">
        <f>B1-(O2Summary!B7)+1</f>
        <v>121</v>
      </c>
      <c r="C4" s="70">
        <f>_xlfn.XLOOKUP($C$1,'Modelling New'!$D:$D,'Modelling New'!$S:$S)</f>
        <v>690.80322580645156</v>
      </c>
      <c r="D4" s="71">
        <f>SUMIFS('Daily KPI'!$I:$I,'Daily KPI'!$A:$A,"&gt;="&amp;O2Summary!$B$7,'Daily KPI'!$A:$A,"&lt;="&amp;AnnualKPI!$B$1)</f>
        <v>622.53353231667472</v>
      </c>
      <c r="E4" s="69">
        <f>_xlfn.XLOOKUP($C$1,'Modelling New'!$D:$D,'Modelling New'!$V:$V,0)</f>
        <v>72639.788591487115</v>
      </c>
      <c r="F4" s="72">
        <f>SUMIFS('Daily KPI'!$AA:$AA,'Daily KPI'!$A:$A,"&gt;="&amp;O2Summary!$B$7,'Daily KPI'!$A:$A,"&lt;="&amp;AnnualKPI!$B$1)/1000</f>
        <v>57878.639999999985</v>
      </c>
      <c r="G4" s="73">
        <f>_xlfn.XLOOKUP($C$1,'Modelling New'!$D:$D,'Modelling New'!$Y:$Y,0)</f>
        <v>0.19241308696621931</v>
      </c>
      <c r="H4" s="74">
        <f>F4/(24*B4)/(_xlfn.XLOOKUP($B$1,'Daily KPI'!$A:$A,'Daily KPI'!$AR:$AR))</f>
        <v>0.15331277813095989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0.99008085947586055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0.98492378942611869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0.72589574298548465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5546875" defaultRowHeight="29.25" customHeight="1"/>
  <cols>
    <col min="1" max="1" width="18.140625" style="5" customWidth="1"/>
    <col min="2" max="2" width="9.85546875" bestFit="1" customWidth="1"/>
    <col min="3" max="3" width="12.140625" customWidth="1"/>
    <col min="4" max="4" width="12" customWidth="1"/>
    <col min="5" max="6" width="14.85546875" customWidth="1"/>
    <col min="7" max="12" width="12.140625" customWidth="1"/>
    <col min="13" max="13" width="11.140625" customWidth="1"/>
    <col min="14" max="14" width="13.85546875" customWidth="1"/>
    <col min="15" max="20" width="11.140625" customWidth="1"/>
  </cols>
  <sheetData>
    <row r="1" spans="1:15" ht="29.25" customHeight="1">
      <c r="A1" s="125" t="s">
        <v>44</v>
      </c>
      <c r="B1" s="64">
        <f>O2Summary!B5</f>
        <v>45868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43" t="s">
        <v>0</v>
      </c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30</v>
      </c>
      <c r="C4" s="70">
        <f>_xlfn.XLOOKUP($A$4,'Modelling New'!$D:$D,'Modelling New'!$R:$R,0)</f>
        <v>113.90322580645162</v>
      </c>
      <c r="D4" s="71">
        <f>SUMIF('Daily KPI'!$D:$D,$A$4,'Daily KPI'!$I:$I)</f>
        <v>110.39280179167467</v>
      </c>
      <c r="E4" s="69">
        <f>_xlfn.XLOOKUP($A$4,'Modelling New'!$D:$D,'Modelling New'!$U:$U,0)</f>
        <v>12631.854562443192</v>
      </c>
      <c r="F4" s="72">
        <f>SUMIFS('Daily KPI'!$AA:$AA,'Daily KPI'!$D:$D,"&gt;="&amp;$A$4,'Daily KPI'!$D:$D,"&lt;="&amp;MonthlyKPI!$B$1)/1000</f>
        <v>11978.496000000016</v>
      </c>
      <c r="G4" s="73">
        <f>_xlfn.XLOOKUP($A$4,'Modelling New'!$D:$D,'Modelling New'!$X:$X,0)</f>
        <v>0.13495571113721358</v>
      </c>
      <c r="H4" s="75">
        <f>F4/(24*B4)/(_xlfn.XLOOKUP($B$1,'Daily KPI'!$A:$A,'Daily KPI'!$AR:$AR))</f>
        <v>0.1279753846153848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0.99427104792591636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0.84082095629073283</v>
      </c>
      <c r="O4" s="74" t="str">
        <f>IFERROR(AVERAGEIF('Daily KPI'!$D:$D,$A$4,'Daily KPI'!$V:$V),"")</f>
        <v/>
      </c>
    </row>
    <row r="6" spans="1:15" ht="29.25" customHeight="1">
      <c r="A6" s="125" t="s">
        <v>66</v>
      </c>
      <c r="B6" s="64">
        <f>B7-6</f>
        <v>45862</v>
      </c>
      <c r="D6" s="27"/>
      <c r="F6" s="27"/>
    </row>
    <row r="7" spans="1:15" ht="29.25" customHeight="1">
      <c r="A7" s="125" t="s">
        <v>67</v>
      </c>
      <c r="B7" s="64">
        <f>B1</f>
        <v>45868</v>
      </c>
    </row>
    <row r="8" spans="1:15" ht="29.25" customHeight="1">
      <c r="A8" s="343" t="s">
        <v>0</v>
      </c>
      <c r="B8" s="344"/>
      <c r="C8" s="344"/>
      <c r="D8" s="344"/>
      <c r="E8" s="344"/>
      <c r="F8" s="344"/>
      <c r="G8" s="344"/>
      <c r="H8" s="344"/>
      <c r="I8" s="344"/>
      <c r="J8" s="344"/>
      <c r="K8" s="344"/>
      <c r="L8" s="344"/>
      <c r="M8" s="344"/>
      <c r="N8" s="344"/>
      <c r="O8" s="344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18.01761806666666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2006.352000000008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9.1865934065934435E-2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0.99831175756859147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0.8628826639326983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B336" activePane="bottomRight" state="frozen"/>
      <selection pane="topRight" activeCell="AB39" sqref="AB39"/>
      <selection pane="bottomLeft" activeCell="AB39" sqref="AB39"/>
      <selection pane="bottomRight" activeCell="E369" sqref="E369"/>
    </sheetView>
  </sheetViews>
  <sheetFormatPr defaultRowHeight="15"/>
  <cols>
    <col min="1" max="1" width="10.140625" bestFit="1" customWidth="1"/>
    <col min="2" max="5" width="9" customWidth="1"/>
    <col min="6" max="9" width="10.140625" customWidth="1"/>
    <col min="10" max="12" width="11.140625" customWidth="1"/>
    <col min="13" max="13" width="15.140625" bestFit="1" customWidth="1"/>
    <col min="14" max="36" width="11.140625" customWidth="1"/>
    <col min="37" max="39" width="11.140625" style="246" customWidth="1"/>
    <col min="40" max="40" width="11.140625" style="191" customWidth="1"/>
    <col min="41" max="43" width="11.140625" customWidth="1"/>
    <col min="44" max="45" width="11.140625" style="224" customWidth="1"/>
  </cols>
  <sheetData>
    <row r="1" spans="1:45" ht="60">
      <c r="A1" s="214" t="s">
        <v>68</v>
      </c>
      <c r="B1" s="215" t="s">
        <v>69</v>
      </c>
      <c r="C1" s="215" t="s">
        <v>70</v>
      </c>
      <c r="D1" s="215" t="s">
        <v>71</v>
      </c>
      <c r="E1" s="215" t="s">
        <v>47</v>
      </c>
      <c r="F1" s="216" t="s">
        <v>72</v>
      </c>
      <c r="G1" s="216" t="s">
        <v>73</v>
      </c>
      <c r="H1" s="216" t="s">
        <v>74</v>
      </c>
      <c r="I1" s="216" t="s">
        <v>75</v>
      </c>
      <c r="J1" s="216" t="s">
        <v>76</v>
      </c>
      <c r="K1" s="216" t="s">
        <v>77</v>
      </c>
      <c r="L1" s="216" t="s">
        <v>78</v>
      </c>
      <c r="M1" s="216" t="s">
        <v>79</v>
      </c>
      <c r="N1" s="216" t="s">
        <v>80</v>
      </c>
      <c r="O1" s="216" t="s">
        <v>81</v>
      </c>
      <c r="P1" s="216" t="s">
        <v>82</v>
      </c>
      <c r="Q1" s="216" t="s">
        <v>83</v>
      </c>
      <c r="R1" s="216" t="s">
        <v>84</v>
      </c>
      <c r="S1" s="216" t="s">
        <v>85</v>
      </c>
      <c r="T1" s="216" t="s">
        <v>86</v>
      </c>
      <c r="U1" s="216" t="s">
        <v>87</v>
      </c>
      <c r="V1" s="216" t="s">
        <v>88</v>
      </c>
      <c r="W1" s="216" t="s">
        <v>89</v>
      </c>
      <c r="X1" s="216" t="s">
        <v>90</v>
      </c>
      <c r="Y1" s="216" t="s">
        <v>91</v>
      </c>
      <c r="Z1" s="216" t="s">
        <v>92</v>
      </c>
      <c r="AA1" s="216" t="s">
        <v>93</v>
      </c>
      <c r="AB1" s="216" t="s">
        <v>94</v>
      </c>
      <c r="AC1" s="216" t="s">
        <v>95</v>
      </c>
      <c r="AD1" s="216" t="s">
        <v>96</v>
      </c>
      <c r="AE1" s="216" t="s">
        <v>97</v>
      </c>
      <c r="AF1" s="216" t="s">
        <v>98</v>
      </c>
      <c r="AG1" s="216" t="s">
        <v>99</v>
      </c>
      <c r="AH1" s="216" t="s">
        <v>100</v>
      </c>
      <c r="AI1" s="216" t="s">
        <v>101</v>
      </c>
      <c r="AJ1" s="216" t="s">
        <v>102</v>
      </c>
      <c r="AK1" s="244" t="s">
        <v>103</v>
      </c>
      <c r="AL1" s="244" t="s">
        <v>104</v>
      </c>
      <c r="AM1" s="244" t="s">
        <v>105</v>
      </c>
      <c r="AN1" s="217" t="s">
        <v>106</v>
      </c>
      <c r="AO1" s="216" t="s">
        <v>107</v>
      </c>
      <c r="AP1" s="216" t="s">
        <v>108</v>
      </c>
      <c r="AQ1" s="216" t="s">
        <v>109</v>
      </c>
      <c r="AR1" s="213" t="s">
        <v>110</v>
      </c>
      <c r="AS1" s="213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18">
        <f>Table13[[#This Row],[Date]]-DAY(Table13[[#This Row],[Date]])+1</f>
        <v>45717</v>
      </c>
      <c r="E2" s="9">
        <f t="shared" ref="E2:E39" si="0">DAY(EOMONTH(A2,0))</f>
        <v>31</v>
      </c>
      <c r="F2" s="188">
        <f>IFERROR(_xlfn.XLOOKUP($A2,Input_Raw!$A:$A,Input_Raw!$FC:$FC),"")</f>
        <v>11.549999999999999</v>
      </c>
      <c r="G2" s="189">
        <f>IFERROR(_xlfn.XLOOKUP($A2,Input_Raw!$A:$A,Input_Raw!$CY:$CY),"")</f>
        <v>6.9921496000000012</v>
      </c>
      <c r="H2" s="189" t="str">
        <f>IFERROR(_xlfn.XLOOKUP($A2,Input_Raw!$A:$A,Input_Raw!$DA:$DA),"")</f>
        <v/>
      </c>
      <c r="I2" s="189">
        <f>IFERROR(_xlfn.XLOOKUP($A2,Input_Raw!$A:$A,Input_Raw!$CX:$CX),"")</f>
        <v>5.5478074666666668</v>
      </c>
      <c r="J2" s="189">
        <f>IFERROR(_xlfn.XLOOKUP($A2,Input_Raw!$A:$A,Input_Raw!$CZ:$CZ),"")</f>
        <v>0.89155528333333256</v>
      </c>
      <c r="K2" s="190">
        <f>IFERROR(_xlfn.XLOOKUP($A2,Input_Raw!$A:$A,Input_Raw!$DB:$DB),"")</f>
        <v>29.428501118568214</v>
      </c>
      <c r="L2" s="190">
        <f>IFERROR(_xlfn.XLOOKUP($A2,Input_Raw!$A:$A,Input_Raw!$DC:$DC),"")</f>
        <v>36.839984340044779</v>
      </c>
      <c r="M2" s="189">
        <f>IFERROR(_xlfn.XLOOKUP($A2,Input_Raw!$A:$A,Input_Raw!$DF:$DF),"")</f>
        <v>0.77800000000000002</v>
      </c>
      <c r="N2" s="189">
        <f>IFERROR(_xlfn.XLOOKUP($A2,Input_Raw!$A:$A,Input_Raw!$DG:$DG),"")</f>
        <v>2.109</v>
      </c>
      <c r="O2" s="219" t="str">
        <f>IFERROR(1-(SUMIF(Plant_BD!$B:$B,$A2,Plant_BD!$AL:$AL)/($AA2+SUMIF(Plant_BD!$B:$B,$A2,Plant_BD!$AL:$AL))),"")</f>
        <v/>
      </c>
      <c r="P2" s="219"/>
      <c r="Q2" s="220" t="str">
        <f>IFERROR(1-(SUMIF(Grid_BD!$B:$B,$A2,Grid_BD!$V:$V)/($AA2+SUMIF(Grid_BD!$B:$B,$A2,Grid_BD!$V:$V))),"")</f>
        <v/>
      </c>
      <c r="R2" s="219" t="str">
        <f>IFERROR(1-(SUMIF(Grid_BD!$B:$B,$A2,Grid_BD!$V:$V)/($AA2+SUMIF(Grid_BD!$B:$B,$A2,Grid_BD!$V:$V))),"")</f>
        <v/>
      </c>
      <c r="S2" s="9"/>
      <c r="T2" s="220"/>
      <c r="U2" s="221" t="str">
        <f t="shared" ref="U2:U39" si="1">IFERROR(AA2/I2/AB2/1000,"")</f>
        <v/>
      </c>
      <c r="V2" s="221">
        <f>IFERROR(_xlfn.XLOOKUP($A2,Input_Raw!$A:$A,Input_Raw!$FG:$FG),"")</f>
        <v>0</v>
      </c>
      <c r="W2" s="222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78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22">
        <f>IFERROR(_xlfn.XLOOKUP($D2,'Modelling New'!$D:$D,'Modelling New'!O:O),"")</f>
        <v>0.81054022098673606</v>
      </c>
      <c r="AF2" s="222">
        <f>IFERROR(_xlfn.XLOOKUP($D2,'Modelling New'!$D:$D,'Modelling New'!W:W),"")</f>
        <v>0.23379291858031392</v>
      </c>
      <c r="AG2" s="222">
        <f>IFERROR(_xlfn.XLOOKUP($D2,'Modelling New'!$D:$D,'Modelling New'!AE:AE),"")</f>
        <v>0.995</v>
      </c>
      <c r="AH2" s="222">
        <f>IFERROR(_xlfn.XLOOKUP($D2,'Modelling New'!$D:$D,'Modelling New'!AF:AF),"")</f>
        <v>0.995</v>
      </c>
      <c r="AI2" s="9"/>
      <c r="AJ2" s="9"/>
      <c r="AK2" s="245"/>
      <c r="AL2" s="245"/>
      <c r="AM2" s="245"/>
      <c r="AN2" s="219"/>
      <c r="AO2" s="222"/>
      <c r="AP2" s="222"/>
      <c r="AQ2" s="222"/>
      <c r="AR2" s="223">
        <f>_xlfn.XLOOKUP(D2,'Modelling New'!$D:$D,'Modelling New'!$N:$N)</f>
        <v>136.82</v>
      </c>
      <c r="AS2" s="223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18">
        <f>Table13[[#This Row],[Date]]-DAY(Table13[[#This Row],[Date]])+1</f>
        <v>45717</v>
      </c>
      <c r="E3" s="9">
        <f t="shared" si="0"/>
        <v>31</v>
      </c>
      <c r="F3" s="188">
        <f>IFERROR(_xlfn.XLOOKUP($A3,Input_Raw!$A:$A,Input_Raw!$FC:$FC),"")</f>
        <v>11.533333333333331</v>
      </c>
      <c r="G3" s="178">
        <f>IFERROR(_xlfn.XLOOKUP($A3,Input_Raw!$A:$A,Input_Raw!$CY:$CY),"")</f>
        <v>6.67531885</v>
      </c>
      <c r="H3" s="178" t="str">
        <f>IFERROR(_xlfn.XLOOKUP($A3,Input_Raw!$A:$A,Input_Raw!$DA:$DA),"")</f>
        <v/>
      </c>
      <c r="I3" s="178">
        <f>IFERROR(_xlfn.XLOOKUP($A3,Input_Raw!$A:$A,Input_Raw!$CX:$CX),"")</f>
        <v>5.2804577833333326</v>
      </c>
      <c r="J3" s="178">
        <f>IFERROR(_xlfn.XLOOKUP($A3,Input_Raw!$A:$A,Input_Raw!$CZ:$CZ),"")</f>
        <v>0.85918861666666624</v>
      </c>
      <c r="K3" s="190">
        <f>IFERROR(_xlfn.XLOOKUP($A3,Input_Raw!$A:$A,Input_Raw!$DB:$DB),"")</f>
        <v>30.223930789707243</v>
      </c>
      <c r="L3" s="190">
        <f>IFERROR(_xlfn.XLOOKUP($A3,Input_Raw!$A:$A,Input_Raw!$DC:$DC),"")</f>
        <v>38.070228039041687</v>
      </c>
      <c r="M3" s="189">
        <f>IFERROR(_xlfn.XLOOKUP($A3,Input_Raw!$A:$A,Input_Raw!$DF:$DF),"")</f>
        <v>0.96656433007985842</v>
      </c>
      <c r="N3" s="189">
        <f>IFERROR(_xlfn.XLOOKUP($A3,Input_Raw!$A:$A,Input_Raw!$DG:$DG),"")</f>
        <v>2.6789999999999998</v>
      </c>
      <c r="O3" s="219">
        <f>IFERROR(1-(SUMIF(Plant_BD!$B:$B,$A3,Plant_BD!$AL:$AL)/($AA3+SUMIF(Plant_BD!$B:$B,$A3,Plant_BD!$AL:$AL))),"")</f>
        <v>1</v>
      </c>
      <c r="P3" s="219"/>
      <c r="Q3" s="220">
        <f>IFERROR(1-(SUMIF(Grid_BD!$B:$B,$A3,Grid_BD!$V:$V)/($AA3+SUMIF(Grid_BD!$B:$B,$A3,Grid_BD!$V:$V))),"")</f>
        <v>1</v>
      </c>
      <c r="R3" s="219">
        <f>IFERROR(1-(SUMIF(Grid_BD!$B:$B,$A3,Grid_BD!$V:$V)/($AA3+SUMIF(Grid_BD!$B:$B,$A3,Grid_BD!$V:$V))),"")</f>
        <v>1</v>
      </c>
      <c r="S3" s="9"/>
      <c r="T3" s="220"/>
      <c r="U3" s="221">
        <f t="shared" si="1"/>
        <v>0.92522437407661917</v>
      </c>
      <c r="V3" s="221">
        <f>IFERROR(_xlfn.XLOOKUP($A3,Input_Raw!$A:$A,Input_Raw!$FG:$FG),"")</f>
        <v>0</v>
      </c>
      <c r="W3" s="222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78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22">
        <f>IFERROR(_xlfn.XLOOKUP($D3,'Modelling New'!$D:$D,'Modelling New'!O:O),"")</f>
        <v>0.81054022098673606</v>
      </c>
      <c r="AF3" s="222">
        <f>IFERROR(_xlfn.XLOOKUP($D3,'Modelling New'!$D:$D,'Modelling New'!W:W),"")</f>
        <v>0.23379291858031392</v>
      </c>
      <c r="AG3" s="222">
        <f>IFERROR(_xlfn.XLOOKUP($D3,'Modelling New'!$D:$D,'Modelling New'!AE:AE),"")</f>
        <v>0.995</v>
      </c>
      <c r="AH3" s="222">
        <f>IFERROR(_xlfn.XLOOKUP($D3,'Modelling New'!$D:$D,'Modelling New'!AF:AF),"")</f>
        <v>0.995</v>
      </c>
      <c r="AI3" s="9"/>
      <c r="AJ3" s="9"/>
      <c r="AK3" s="245"/>
      <c r="AL3" s="245"/>
      <c r="AM3" s="245"/>
      <c r="AN3" s="219"/>
      <c r="AO3" s="222"/>
      <c r="AP3" s="222"/>
      <c r="AQ3" s="222"/>
      <c r="AR3" s="223">
        <f>_xlfn.XLOOKUP(D3,'Modelling New'!$D:$D,'Modelling New'!$N:$N)</f>
        <v>136.82</v>
      </c>
      <c r="AS3" s="223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18">
        <f>Table13[[#This Row],[Date]]-DAY(Table13[[#This Row],[Date]])+1</f>
        <v>45717</v>
      </c>
      <c r="E4" s="9">
        <f t="shared" si="0"/>
        <v>31</v>
      </c>
      <c r="F4" s="188">
        <f>IFERROR(_xlfn.XLOOKUP($A4,Input_Raw!$A:$A,Input_Raw!$FC:$FC),"")</f>
        <v>11.35</v>
      </c>
      <c r="G4" s="189">
        <f>IFERROR(_xlfn.XLOOKUP($A4,Input_Raw!$A:$A,Input_Raw!$CY:$CY),"")</f>
        <v>5.2572097833333382</v>
      </c>
      <c r="H4" s="189" t="str">
        <f>IFERROR(_xlfn.XLOOKUP($A4,Input_Raw!$A:$A,Input_Raw!$DA:$DA),"")</f>
        <v/>
      </c>
      <c r="I4" s="189">
        <f>IFERROR(_xlfn.XLOOKUP($A4,Input_Raw!$A:$A,Input_Raw!$CX:$CX),"")</f>
        <v>4.106817033333332</v>
      </c>
      <c r="J4" s="189">
        <f>IFERROR(_xlfn.XLOOKUP($A4,Input_Raw!$A:$A,Input_Raw!$CZ:$CZ),"")</f>
        <v>0.68373261666666718</v>
      </c>
      <c r="K4" s="190">
        <f>IFERROR(_xlfn.XLOOKUP($A4,Input_Raw!$A:$A,Input_Raw!$DB:$DB),"")</f>
        <v>31.031810897435843</v>
      </c>
      <c r="L4" s="190">
        <f>IFERROR(_xlfn.XLOOKUP($A4,Input_Raw!$A:$A,Input_Raw!$DC:$DC),"")</f>
        <v>38.522138621794817</v>
      </c>
      <c r="M4" s="189">
        <f>IFERROR(_xlfn.XLOOKUP($A4,Input_Raw!$A:$A,Input_Raw!$DF:$DF),"")</f>
        <v>0.99419631410256448</v>
      </c>
      <c r="N4" s="189">
        <f>IFERROR(_xlfn.XLOOKUP($A4,Input_Raw!$A:$A,Input_Raw!$DG:$DG),"")</f>
        <v>2.7240000000000002</v>
      </c>
      <c r="O4" s="219">
        <f>IFERROR(1-(SUMIF(Plant_BD!$B:$B,$A4,Plant_BD!$AL:$AL)/($AA4+SUMIF(Plant_BD!$B:$B,$A4,Plant_BD!$AL:$AL))),"")</f>
        <v>1</v>
      </c>
      <c r="P4" s="219"/>
      <c r="Q4" s="220">
        <f>IFERROR(1-(SUMIF(Grid_BD!$B:$B,$A4,Grid_BD!$V:$V)/($AA4+SUMIF(Grid_BD!$B:$B,$A4,Grid_BD!$V:$V))),"")</f>
        <v>1</v>
      </c>
      <c r="R4" s="219">
        <f>IFERROR(1-(SUMIF(Grid_BD!$B:$B,$A4,Grid_BD!$V:$V)/($AA4+SUMIF(Grid_BD!$B:$B,$A4,Grid_BD!$V:$V))),"")</f>
        <v>1</v>
      </c>
      <c r="S4" s="9"/>
      <c r="T4" s="220"/>
      <c r="U4" s="221">
        <f t="shared" si="1"/>
        <v>0.91581196201865378</v>
      </c>
      <c r="V4" s="221">
        <f>IFERROR(_xlfn.XLOOKUP($A4,Input_Raw!$A:$A,Input_Raw!$FG:$FG),"")</f>
        <v>0</v>
      </c>
      <c r="W4" s="222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78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22">
        <f>IFERROR(_xlfn.XLOOKUP($D4,'Modelling New'!$D:$D,'Modelling New'!O:O),"")</f>
        <v>0.81054022098673606</v>
      </c>
      <c r="AF4" s="222">
        <f>IFERROR(_xlfn.XLOOKUP($D4,'Modelling New'!$D:$D,'Modelling New'!W:W),"")</f>
        <v>0.23379291858031392</v>
      </c>
      <c r="AG4" s="222">
        <f>IFERROR(_xlfn.XLOOKUP($D4,'Modelling New'!$D:$D,'Modelling New'!AE:AE),"")</f>
        <v>0.995</v>
      </c>
      <c r="AH4" s="222">
        <f>IFERROR(_xlfn.XLOOKUP($D4,'Modelling New'!$D:$D,'Modelling New'!AF:AF),"")</f>
        <v>0.995</v>
      </c>
      <c r="AI4" s="9"/>
      <c r="AJ4" s="9"/>
      <c r="AK4" s="245"/>
      <c r="AL4" s="245"/>
      <c r="AM4" s="245"/>
      <c r="AN4" s="219"/>
      <c r="AO4" s="222"/>
      <c r="AP4" s="222"/>
      <c r="AQ4" s="222"/>
      <c r="AR4" s="223">
        <f>_xlfn.XLOOKUP(D4,'Modelling New'!$D:$D,'Modelling New'!$N:$N)</f>
        <v>136.82</v>
      </c>
      <c r="AS4" s="223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18">
        <f>Table13[[#This Row],[Date]]-DAY(Table13[[#This Row],[Date]])+1</f>
        <v>45748</v>
      </c>
      <c r="E5" s="9">
        <f t="shared" si="0"/>
        <v>30</v>
      </c>
      <c r="F5" s="188">
        <f>IFERROR(_xlfn.XLOOKUP($A5,Input_Raw!$A:$A,Input_Raw!$FC:$FC),"")</f>
        <v>10.566666666666666</v>
      </c>
      <c r="G5" s="178">
        <f>IFERROR(_xlfn.XLOOKUP($A5,Input_Raw!$A:$A,Input_Raw!$CY:$CY),"")</f>
        <v>2.214</v>
      </c>
      <c r="H5" s="178">
        <f>IFERROR(_xlfn.XLOOKUP($A5,Input_Raw!$A:$A,Input_Raw!$DA:$DA),"")</f>
        <v>0.40200000000000002</v>
      </c>
      <c r="I5" s="178">
        <f>IFERROR(_xlfn.XLOOKUP($A5,Input_Raw!$A:$A,Input_Raw!$CX:$CX),"")</f>
        <v>1.68</v>
      </c>
      <c r="J5" s="178">
        <f>IFERROR(_xlfn.XLOOKUP($A5,Input_Raw!$A:$A,Input_Raw!$CZ:$CZ),"")</f>
        <v>0.27400000000000002</v>
      </c>
      <c r="K5" s="190">
        <f>IFERROR(_xlfn.XLOOKUP($A5,Input_Raw!$A:$A,Input_Raw!$DB:$DB),"")</f>
        <v>30.347999999999999</v>
      </c>
      <c r="L5" s="190">
        <f>IFERROR(_xlfn.XLOOKUP($A5,Input_Raw!$A:$A,Input_Raw!$DC:$DC),"")</f>
        <v>37.567999999999998</v>
      </c>
      <c r="M5" s="189">
        <f>IFERROR(_xlfn.XLOOKUP($A5,Input_Raw!$A:$A,Input_Raw!$DF:$DF),"")</f>
        <v>0.66600000000000004</v>
      </c>
      <c r="N5" s="189">
        <f>IFERROR(_xlfn.XLOOKUP($A5,Input_Raw!$A:$A,Input_Raw!$DG:$DG),"")</f>
        <v>1.6919999999999999</v>
      </c>
      <c r="O5" s="219">
        <f>IFERROR(1-(SUMIF(Plant_BD!$B:$B,$A5,Plant_BD!$AL:$AL)/($AA5+SUMIF(Plant_BD!$B:$B,$A5,Plant_BD!$AL:$AL))),"")</f>
        <v>1</v>
      </c>
      <c r="P5" s="219"/>
      <c r="Q5" s="220">
        <f>IFERROR(1-(SUMIF(Grid_BD!$B:$B,$A5,Grid_BD!$V:$V)/($AA5+SUMIF(Grid_BD!$B:$B,$A5,Grid_BD!$V:$V))),"")</f>
        <v>1</v>
      </c>
      <c r="R5" s="219">
        <f>IFERROR(1-(SUMIF(Grid_BD!$B:$B,$A5,Grid_BD!$V:$V)/($AA5+SUMIF(Grid_BD!$B:$B,$A5,Grid_BD!$V:$V))),"")</f>
        <v>1</v>
      </c>
      <c r="S5" s="9"/>
      <c r="T5" s="220"/>
      <c r="U5" s="221">
        <f t="shared" si="1"/>
        <v>1.0285714285714285</v>
      </c>
      <c r="V5" s="221">
        <f>IFERROR(_xlfn.XLOOKUP($A5,Input_Raw!$A:$A,Input_Raw!$FG:$FG),"")</f>
        <v>0</v>
      </c>
      <c r="W5" s="222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78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22">
        <f>IFERROR(_xlfn.XLOOKUP($D5,'Modelling New'!$D:$D,'Modelling New'!O:O),"")</f>
        <v>0.76452024028227472</v>
      </c>
      <c r="AF5" s="222">
        <f>IFERROR(_xlfn.XLOOKUP($D5,'Modelling New'!$D:$D,'Modelling New'!W:W),"")</f>
        <v>0.22744477148397671</v>
      </c>
      <c r="AG5" s="222">
        <f>IFERROR(_xlfn.XLOOKUP($D5,'Modelling New'!$D:$D,'Modelling New'!AE:AE),"")</f>
        <v>0.995</v>
      </c>
      <c r="AH5" s="222">
        <f>IFERROR(_xlfn.XLOOKUP($D5,'Modelling New'!$D:$D,'Modelling New'!AF:AF),"")</f>
        <v>0.995</v>
      </c>
      <c r="AI5" s="9"/>
      <c r="AJ5" s="9"/>
      <c r="AK5" s="245"/>
      <c r="AL5" s="245"/>
      <c r="AM5" s="245"/>
      <c r="AN5" s="219"/>
      <c r="AO5" s="222"/>
      <c r="AP5" s="222"/>
      <c r="AQ5" s="222"/>
      <c r="AR5" s="223">
        <f>_xlfn.XLOOKUP(D5,'Modelling New'!$D:$D,'Modelling New'!$N:$N)</f>
        <v>130</v>
      </c>
      <c r="AS5" s="223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18">
        <f>Table13[[#This Row],[Date]]-DAY(Table13[[#This Row],[Date]])+1</f>
        <v>45748</v>
      </c>
      <c r="E6" s="9">
        <f t="shared" si="0"/>
        <v>30</v>
      </c>
      <c r="F6" s="188">
        <f>IFERROR(_xlfn.XLOOKUP($A6,Input_Raw!$A:$A,Input_Raw!$FC:$FC),"")</f>
        <v>10.416666666666666</v>
      </c>
      <c r="G6" s="189">
        <f>IFERROR(_xlfn.XLOOKUP($A6,Input_Raw!$A:$A,Input_Raw!$CY:$CY),"")</f>
        <v>4.0104408333333366</v>
      </c>
      <c r="H6" s="189">
        <f>IFERROR(_xlfn.XLOOKUP($A6,Input_Raw!$A:$A,Input_Raw!$DA:$DA),"")</f>
        <v>0.67438216666666695</v>
      </c>
      <c r="I6" s="189">
        <f>IFERROR(_xlfn.XLOOKUP($A6,Input_Raw!$A:$A,Input_Raw!$CX:$CX),"")</f>
        <v>3.0988523999999997</v>
      </c>
      <c r="J6" s="189">
        <f>IFERROR(_xlfn.XLOOKUP($A6,Input_Raw!$A:$A,Input_Raw!$CZ:$CZ),"")</f>
        <v>0.42088406666666633</v>
      </c>
      <c r="K6" s="190">
        <f>IFERROR(_xlfn.XLOOKUP($A6,Input_Raw!$A:$A,Input_Raw!$DB:$DB),"")</f>
        <v>28.203182692307703</v>
      </c>
      <c r="L6" s="190">
        <f>IFERROR(_xlfn.XLOOKUP($A6,Input_Raw!$A:$A,Input_Raw!$DC:$DC),"")</f>
        <v>36.144302884615364</v>
      </c>
      <c r="M6" s="189">
        <f>IFERROR(_xlfn.XLOOKUP($A6,Input_Raw!$A:$A,Input_Raw!$DF:$DF),"")</f>
        <v>1.461758653846152</v>
      </c>
      <c r="N6" s="189">
        <f>IFERROR(_xlfn.XLOOKUP($A6,Input_Raw!$A:$A,Input_Raw!$DG:$DG),"")</f>
        <v>2.88</v>
      </c>
      <c r="O6" s="219">
        <f>IFERROR(1-(SUMIF(Plant_BD!$B:$B,$A6,Plant_BD!$AL:$AL)/($AA6+SUMIF(Plant_BD!$B:$B,$A6,Plant_BD!$AL:$AL))),"")</f>
        <v>1</v>
      </c>
      <c r="P6" s="219"/>
      <c r="Q6" s="220">
        <f>IFERROR(1-(SUMIF(Grid_BD!$B:$B,$A6,Grid_BD!$V:$V)/($AA6+SUMIF(Grid_BD!$B:$B,$A6,Grid_BD!$V:$V))),"")</f>
        <v>1</v>
      </c>
      <c r="R6" s="219">
        <f>IFERROR(1-(SUMIF(Grid_BD!$B:$B,$A6,Grid_BD!$V:$V)/($AA6+SUMIF(Grid_BD!$B:$B,$A6,Grid_BD!$V:$V))),"")</f>
        <v>1</v>
      </c>
      <c r="S6" s="9"/>
      <c r="T6" s="220"/>
      <c r="U6" s="221">
        <f t="shared" si="1"/>
        <v>1.0098583791392166</v>
      </c>
      <c r="V6" s="221">
        <f>IFERROR(_xlfn.XLOOKUP($A6,Input_Raw!$A:$A,Input_Raw!$FG:$FG),"")</f>
        <v>0</v>
      </c>
      <c r="W6" s="222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78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22">
        <f>IFERROR(_xlfn.XLOOKUP($D6,'Modelling New'!$D:$D,'Modelling New'!O:O),"")</f>
        <v>0.76452024028227472</v>
      </c>
      <c r="AF6" s="222">
        <f>IFERROR(_xlfn.XLOOKUP($D6,'Modelling New'!$D:$D,'Modelling New'!W:W),"")</f>
        <v>0.22744477148397671</v>
      </c>
      <c r="AG6" s="222">
        <f>IFERROR(_xlfn.XLOOKUP($D6,'Modelling New'!$D:$D,'Modelling New'!AE:AE),"")</f>
        <v>0.995</v>
      </c>
      <c r="AH6" s="222">
        <f>IFERROR(_xlfn.XLOOKUP($D6,'Modelling New'!$D:$D,'Modelling New'!AF:AF),"")</f>
        <v>0.995</v>
      </c>
      <c r="AI6" s="9"/>
      <c r="AJ6" s="9"/>
      <c r="AK6" s="245"/>
      <c r="AL6" s="245"/>
      <c r="AM6" s="245"/>
      <c r="AN6" s="219"/>
      <c r="AO6" s="222"/>
      <c r="AP6" s="222"/>
      <c r="AQ6" s="222"/>
      <c r="AR6" s="223">
        <f>_xlfn.XLOOKUP(D6,'Modelling New'!$D:$D,'Modelling New'!$N:$N)</f>
        <v>130</v>
      </c>
      <c r="AS6" s="223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18">
        <f>Table13[[#This Row],[Date]]-DAY(Table13[[#This Row],[Date]])+1</f>
        <v>45748</v>
      </c>
      <c r="E7" s="9">
        <f t="shared" si="0"/>
        <v>30</v>
      </c>
      <c r="F7" s="188">
        <f>IFERROR(_xlfn.XLOOKUP($A7,Input_Raw!$A:$A,Input_Raw!$FC:$FC),"")</f>
        <v>10.083333333333334</v>
      </c>
      <c r="G7" s="178">
        <f>IFERROR(_xlfn.XLOOKUP($A7,Input_Raw!$A:$A,Input_Raw!$CY:$CY),"")</f>
        <v>4.3913989166666703</v>
      </c>
      <c r="H7" s="178">
        <f>IFERROR(_xlfn.XLOOKUP($A7,Input_Raw!$A:$A,Input_Raw!$DA:$DA),"")</f>
        <v>0.74058401666666573</v>
      </c>
      <c r="I7" s="178">
        <f>IFERROR(_xlfn.XLOOKUP($A7,Input_Raw!$A:$A,Input_Raw!$CX:$CX),"")</f>
        <v>4.5550656999999966</v>
      </c>
      <c r="J7" s="178">
        <f>IFERROR(_xlfn.XLOOKUP($A7,Input_Raw!$A:$A,Input_Raw!$CZ:$CZ),"")</f>
        <v>0.50570113333333389</v>
      </c>
      <c r="K7" s="190">
        <f>IFERROR(_xlfn.XLOOKUP($A7,Input_Raw!$A:$A,Input_Raw!$DB:$DB),"")</f>
        <v>26.490573770491778</v>
      </c>
      <c r="L7" s="190">
        <f>IFERROR(_xlfn.XLOOKUP($A7,Input_Raw!$A:$A,Input_Raw!$DC:$DC),"")</f>
        <v>34.034232786885255</v>
      </c>
      <c r="M7" s="189">
        <f>IFERROR(_xlfn.XLOOKUP($A7,Input_Raw!$A:$A,Input_Raw!$DF:$DF),"")</f>
        <v>1.0990622950819684</v>
      </c>
      <c r="N7" s="189">
        <f>IFERROR(_xlfn.XLOOKUP($A7,Input_Raw!$A:$A,Input_Raw!$DG:$DG),"")</f>
        <v>2.952</v>
      </c>
      <c r="O7" s="219">
        <f>IFERROR(1-(SUMIF(Plant_BD!$B:$B,$A7,Plant_BD!$AL:$AL)/($AA7+SUMIF(Plant_BD!$B:$B,$A7,Plant_BD!$AL:$AL))),"")</f>
        <v>0.94758976132028505</v>
      </c>
      <c r="P7" s="219"/>
      <c r="Q7" s="220">
        <f>IFERROR(1-(SUMIF(Grid_BD!$B:$B,$A7,Grid_BD!$V:$V)/($AA7+SUMIF(Grid_BD!$B:$B,$A7,Grid_BD!$V:$V))),"")</f>
        <v>1</v>
      </c>
      <c r="R7" s="219">
        <f>IFERROR(1-(SUMIF(Grid_BD!$B:$B,$A7,Grid_BD!$V:$V)/($AA7+SUMIF(Grid_BD!$B:$B,$A7,Grid_BD!$V:$V))),"")</f>
        <v>1</v>
      </c>
      <c r="S7" s="9"/>
      <c r="T7" s="220"/>
      <c r="U7" s="221">
        <f t="shared" si="1"/>
        <v>0.73500586391100231</v>
      </c>
      <c r="V7" s="221">
        <f>IFERROR(_xlfn.XLOOKUP($A7,Input_Raw!$A:$A,Input_Raw!$FG:$FG),"")</f>
        <v>0</v>
      </c>
      <c r="W7" s="222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78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22">
        <f>IFERROR(_xlfn.XLOOKUP($D7,'Modelling New'!$D:$D,'Modelling New'!O:O),"")</f>
        <v>0.76452024028227472</v>
      </c>
      <c r="AF7" s="222">
        <f>IFERROR(_xlfn.XLOOKUP($D7,'Modelling New'!$D:$D,'Modelling New'!W:W),"")</f>
        <v>0.22744477148397671</v>
      </c>
      <c r="AG7" s="222">
        <f>IFERROR(_xlfn.XLOOKUP($D7,'Modelling New'!$D:$D,'Modelling New'!AE:AE),"")</f>
        <v>0.995</v>
      </c>
      <c r="AH7" s="222">
        <f>IFERROR(_xlfn.XLOOKUP($D7,'Modelling New'!$D:$D,'Modelling New'!AF:AF),"")</f>
        <v>0.995</v>
      </c>
      <c r="AI7" s="9"/>
      <c r="AJ7" s="9"/>
      <c r="AK7" s="245"/>
      <c r="AL7" s="245"/>
      <c r="AM7" s="245"/>
      <c r="AN7" s="219"/>
      <c r="AO7" s="222"/>
      <c r="AP7" s="222"/>
      <c r="AQ7" s="222"/>
      <c r="AR7" s="223">
        <f>_xlfn.XLOOKUP(D7,'Modelling New'!$D:$D,'Modelling New'!$N:$N)</f>
        <v>130</v>
      </c>
      <c r="AS7" s="223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18">
        <f>Table13[[#This Row],[Date]]-DAY(Table13[[#This Row],[Date]])+1</f>
        <v>45748</v>
      </c>
      <c r="E8" s="9">
        <f t="shared" si="0"/>
        <v>30</v>
      </c>
      <c r="F8" s="188">
        <f>IFERROR(_xlfn.XLOOKUP($A8,Input_Raw!$A:$A,Input_Raw!$FC:$FC),"")</f>
        <v>11.9</v>
      </c>
      <c r="G8" s="189">
        <f>IFERROR(_xlfn.XLOOKUP($A8,Input_Raw!$A:$A,Input_Raw!$CY:$CY),"")</f>
        <v>6.6430321000000063</v>
      </c>
      <c r="H8" s="189">
        <f>IFERROR(_xlfn.XLOOKUP($A8,Input_Raw!$A:$A,Input_Raw!$DA:$DA),"")</f>
        <v>1.1981101500000002</v>
      </c>
      <c r="I8" s="189">
        <f>IFERROR(_xlfn.XLOOKUP($A8,Input_Raw!$A:$A,Input_Raw!$CX:$CX),"")</f>
        <v>6.7136915833333282</v>
      </c>
      <c r="J8" s="189">
        <f>IFERROR(_xlfn.XLOOKUP($A8,Input_Raw!$A:$A,Input_Raw!$CZ:$CZ),"")</f>
        <v>0.77825446666666664</v>
      </c>
      <c r="K8" s="190">
        <f>IFERROR(_xlfn.XLOOKUP($A8,Input_Raw!$A:$A,Input_Raw!$DB:$DB),"")</f>
        <v>28.981240174672486</v>
      </c>
      <c r="L8" s="190">
        <f>IFERROR(_xlfn.XLOOKUP($A8,Input_Raw!$A:$A,Input_Raw!$DC:$DC),"")</f>
        <v>37.302214847161579</v>
      </c>
      <c r="M8" s="189">
        <f>IFERROR(_xlfn.XLOOKUP($A8,Input_Raw!$A:$A,Input_Raw!$DF:$DF),"")</f>
        <v>0.73128471615720525</v>
      </c>
      <c r="N8" s="189">
        <f>IFERROR(_xlfn.XLOOKUP($A8,Input_Raw!$A:$A,Input_Raw!$DG:$DG),"")</f>
        <v>2.9550000000000001</v>
      </c>
      <c r="O8" s="219">
        <f>IFERROR(1-(SUMIF(Plant_BD!$B:$B,$A8,Plant_BD!$AL:$AL)/($AA8+SUMIF(Plant_BD!$B:$B,$A8,Plant_BD!$AL:$AL))),"")</f>
        <v>1</v>
      </c>
      <c r="P8" s="219"/>
      <c r="Q8" s="220">
        <f>IFERROR(1-(SUMIF(Grid_BD!$B:$B,$A8,Grid_BD!$V:$V)/($AA8+SUMIF(Grid_BD!$B:$B,$A8,Grid_BD!$V:$V))),"")</f>
        <v>1</v>
      </c>
      <c r="R8" s="219">
        <f>IFERROR(1-(SUMIF(Grid_BD!$B:$B,$A8,Grid_BD!$V:$V)/($AA8+SUMIF(Grid_BD!$B:$B,$A8,Grid_BD!$V:$V))),"")</f>
        <v>1</v>
      </c>
      <c r="S8" s="9"/>
      <c r="T8" s="220"/>
      <c r="U8" s="221">
        <f t="shared" si="1"/>
        <v>0.8457224955187852</v>
      </c>
      <c r="V8" s="221">
        <f>IFERROR(_xlfn.XLOOKUP($A8,Input_Raw!$A:$A,Input_Raw!$FG:$FG),"")</f>
        <v>0</v>
      </c>
      <c r="W8" s="222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78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22">
        <f>IFERROR(_xlfn.XLOOKUP($D8,'Modelling New'!$D:$D,'Modelling New'!O:O),"")</f>
        <v>0.76452024028227472</v>
      </c>
      <c r="AF8" s="222">
        <f>IFERROR(_xlfn.XLOOKUP($D8,'Modelling New'!$D:$D,'Modelling New'!W:W),"")</f>
        <v>0.22744477148397671</v>
      </c>
      <c r="AG8" s="222">
        <f>IFERROR(_xlfn.XLOOKUP($D8,'Modelling New'!$D:$D,'Modelling New'!AE:AE),"")</f>
        <v>0.995</v>
      </c>
      <c r="AH8" s="222">
        <f>IFERROR(_xlfn.XLOOKUP($D8,'Modelling New'!$D:$D,'Modelling New'!AF:AF),"")</f>
        <v>0.995</v>
      </c>
      <c r="AI8" s="9"/>
      <c r="AJ8" s="9"/>
      <c r="AK8" s="245"/>
      <c r="AL8" s="245"/>
      <c r="AM8" s="245"/>
      <c r="AN8" s="219"/>
      <c r="AO8" s="222"/>
      <c r="AP8" s="222"/>
      <c r="AQ8" s="222"/>
      <c r="AR8" s="223">
        <f>_xlfn.XLOOKUP(D8,'Modelling New'!$D:$D,'Modelling New'!$N:$N)</f>
        <v>130</v>
      </c>
      <c r="AS8" s="223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18">
        <f>Table13[[#This Row],[Date]]-DAY(Table13[[#This Row],[Date]])+1</f>
        <v>45748</v>
      </c>
      <c r="E9" s="9">
        <f t="shared" si="0"/>
        <v>30</v>
      </c>
      <c r="F9" s="188">
        <f>IFERROR(_xlfn.XLOOKUP($A9,Input_Raw!$A:$A,Input_Raw!$FC:$FC),"")</f>
        <v>11.799999999999999</v>
      </c>
      <c r="G9" s="178">
        <f>IFERROR(_xlfn.XLOOKUP($A9,Input_Raw!$A:$A,Input_Raw!$CY:$CY),"")</f>
        <v>6.9011737333333381</v>
      </c>
      <c r="H9" s="178">
        <f>IFERROR(_xlfn.XLOOKUP($A9,Input_Raw!$A:$A,Input_Raw!$DA:$DA),"")</f>
        <v>1.2698613999999997</v>
      </c>
      <c r="I9" s="178">
        <f>IFERROR(_xlfn.XLOOKUP($A9,Input_Raw!$A:$A,Input_Raw!$CX:$CX),"")</f>
        <v>7.0237711999999988</v>
      </c>
      <c r="J9" s="178">
        <f>IFERROR(_xlfn.XLOOKUP($A9,Input_Raw!$A:$A,Input_Raw!$CZ:$CZ),"")</f>
        <v>0.83065995000000026</v>
      </c>
      <c r="K9" s="190">
        <f>IFERROR(_xlfn.XLOOKUP($A9,Input_Raw!$A:$A,Input_Raw!$DB:$DB),"")</f>
        <v>30.65649837133547</v>
      </c>
      <c r="L9" s="190">
        <f>IFERROR(_xlfn.XLOOKUP($A9,Input_Raw!$A:$A,Input_Raw!$DC:$DC),"")</f>
        <v>38.092573289902283</v>
      </c>
      <c r="M9" s="189">
        <f>IFERROR(_xlfn.XLOOKUP($A9,Input_Raw!$A:$A,Input_Raw!$DF:$DF),"")</f>
        <v>0.82883061889250742</v>
      </c>
      <c r="N9" s="189">
        <f>IFERROR(_xlfn.XLOOKUP($A9,Input_Raw!$A:$A,Input_Raw!$DG:$DG),"")</f>
        <v>2.9670000000000001</v>
      </c>
      <c r="O9" s="219">
        <f>IFERROR(1-(SUMIF(Plant_BD!$B:$B,$A9,Plant_BD!$AL:$AL)/($AA9+SUMIF(Plant_BD!$B:$B,$A9,Plant_BD!$AL:$AL))),"")</f>
        <v>1</v>
      </c>
      <c r="P9" s="219"/>
      <c r="Q9" s="220">
        <f>IFERROR(1-(SUMIF(Grid_BD!$B:$B,$A9,Grid_BD!$V:$V)/($AA9+SUMIF(Grid_BD!$B:$B,$A9,Grid_BD!$V:$V))),"")</f>
        <v>1</v>
      </c>
      <c r="R9" s="219">
        <f>IFERROR(1-(SUMIF(Grid_BD!$B:$B,$A9,Grid_BD!$V:$V)/($AA9+SUMIF(Grid_BD!$B:$B,$A9,Grid_BD!$V:$V))),"")</f>
        <v>1</v>
      </c>
      <c r="S9" s="9"/>
      <c r="T9" s="220"/>
      <c r="U9" s="221">
        <f t="shared" si="1"/>
        <v>0.81364033176530592</v>
      </c>
      <c r="V9" s="221">
        <f>IFERROR(_xlfn.XLOOKUP($A9,Input_Raw!$A:$A,Input_Raw!$FG:$FG),"")</f>
        <v>0</v>
      </c>
      <c r="W9" s="222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78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22">
        <f>IFERROR(_xlfn.XLOOKUP($D9,'Modelling New'!$D:$D,'Modelling New'!O:O),"")</f>
        <v>0.76452024028227472</v>
      </c>
      <c r="AF9" s="222">
        <f>IFERROR(_xlfn.XLOOKUP($D9,'Modelling New'!$D:$D,'Modelling New'!W:W),"")</f>
        <v>0.22744477148397671</v>
      </c>
      <c r="AG9" s="222">
        <f>IFERROR(_xlfn.XLOOKUP($D9,'Modelling New'!$D:$D,'Modelling New'!AE:AE),"")</f>
        <v>0.995</v>
      </c>
      <c r="AH9" s="222">
        <f>IFERROR(_xlfn.XLOOKUP($D9,'Modelling New'!$D:$D,'Modelling New'!AF:AF),"")</f>
        <v>0.995</v>
      </c>
      <c r="AI9" s="9"/>
      <c r="AJ9" s="9"/>
      <c r="AK9" s="245"/>
      <c r="AL9" s="245"/>
      <c r="AM9" s="245"/>
      <c r="AN9" s="219"/>
      <c r="AO9" s="222"/>
      <c r="AP9" s="222"/>
      <c r="AQ9" s="222"/>
      <c r="AR9" s="223">
        <f>_xlfn.XLOOKUP(D9,'Modelling New'!$D:$D,'Modelling New'!$N:$N)</f>
        <v>130</v>
      </c>
      <c r="AS9" s="223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18">
        <f>Table13[[#This Row],[Date]]-DAY(Table13[[#This Row],[Date]])+1</f>
        <v>45748</v>
      </c>
      <c r="E10" s="9">
        <f t="shared" si="0"/>
        <v>30</v>
      </c>
      <c r="F10" s="188">
        <f>IFERROR(_xlfn.XLOOKUP($A10,Input_Raw!$A:$A,Input_Raw!$FC:$FC),"")</f>
        <v>11.783333333333333</v>
      </c>
      <c r="G10" s="189">
        <f>IFERROR(_xlfn.XLOOKUP($A10,Input_Raw!$A:$A,Input_Raw!$CY:$CY),"")</f>
        <v>7.1267072166666701</v>
      </c>
      <c r="H10" s="189">
        <f>IFERROR(_xlfn.XLOOKUP($A10,Input_Raw!$A:$A,Input_Raw!$DA:$DA),"")</f>
        <v>1.3176237000000013</v>
      </c>
      <c r="I10" s="189">
        <f>IFERROR(_xlfn.XLOOKUP($A10,Input_Raw!$A:$A,Input_Raw!$CX:$CX),"")</f>
        <v>7.2617078499999996</v>
      </c>
      <c r="J10" s="189">
        <f>IFERROR(_xlfn.XLOOKUP($A10,Input_Raw!$A:$A,Input_Raw!$CZ:$CZ),"")</f>
        <v>0.85638393333333385</v>
      </c>
      <c r="K10" s="190">
        <f>IFERROR(_xlfn.XLOOKUP($A10,Input_Raw!$A:$A,Input_Raw!$DB:$DB),"")</f>
        <v>32.570993031358924</v>
      </c>
      <c r="L10" s="190">
        <f>IFERROR(_xlfn.XLOOKUP($A10,Input_Raw!$A:$A,Input_Raw!$DC:$DC),"")</f>
        <v>39.887005226480888</v>
      </c>
      <c r="M10" s="189">
        <f>IFERROR(_xlfn.XLOOKUP($A10,Input_Raw!$A:$A,Input_Raw!$DF:$DF),"")</f>
        <v>0.9254790940766543</v>
      </c>
      <c r="N10" s="189">
        <f>IFERROR(_xlfn.XLOOKUP($A10,Input_Raw!$A:$A,Input_Raw!$DG:$DG),"")</f>
        <v>2.496</v>
      </c>
      <c r="O10" s="219">
        <f>IFERROR(1-(SUMIF(Plant_BD!$B:$B,$A10,Plant_BD!$AL:$AL)/($AA10+SUMIF(Plant_BD!$B:$B,$A10,Plant_BD!$AL:$AL))),"")</f>
        <v>1</v>
      </c>
      <c r="P10" s="219"/>
      <c r="Q10" s="220">
        <f>IFERROR(1-(SUMIF(Grid_BD!$B:$B,$A10,Grid_BD!$V:$V)/($AA10+SUMIF(Grid_BD!$B:$B,$A10,Grid_BD!$V:$V))),"")</f>
        <v>1</v>
      </c>
      <c r="R10" s="219">
        <f>IFERROR(1-(SUMIF(Grid_BD!$B:$B,$A10,Grid_BD!$V:$V)/($AA10+SUMIF(Grid_BD!$B:$B,$A10,Grid_BD!$V:$V))),"")</f>
        <v>1</v>
      </c>
      <c r="S10" s="9"/>
      <c r="T10" s="220"/>
      <c r="U10" s="221">
        <f t="shared" si="1"/>
        <v>0.80865760719330126</v>
      </c>
      <c r="V10" s="221">
        <f>IFERROR(_xlfn.XLOOKUP($A10,Input_Raw!$A:$A,Input_Raw!$FG:$FG),"")</f>
        <v>0</v>
      </c>
      <c r="W10" s="222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78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22">
        <f>IFERROR(_xlfn.XLOOKUP($D10,'Modelling New'!$D:$D,'Modelling New'!O:O),"")</f>
        <v>0.76452024028227472</v>
      </c>
      <c r="AF10" s="222">
        <f>IFERROR(_xlfn.XLOOKUP($D10,'Modelling New'!$D:$D,'Modelling New'!W:W),"")</f>
        <v>0.22744477148397671</v>
      </c>
      <c r="AG10" s="222">
        <f>IFERROR(_xlfn.XLOOKUP($D10,'Modelling New'!$D:$D,'Modelling New'!AE:AE),"")</f>
        <v>0.995</v>
      </c>
      <c r="AH10" s="222">
        <f>IFERROR(_xlfn.XLOOKUP($D10,'Modelling New'!$D:$D,'Modelling New'!AF:AF),"")</f>
        <v>0.995</v>
      </c>
      <c r="AI10" s="9"/>
      <c r="AJ10" s="9"/>
      <c r="AK10" s="245"/>
      <c r="AL10" s="245"/>
      <c r="AM10" s="245"/>
      <c r="AN10" s="219"/>
      <c r="AO10" s="222"/>
      <c r="AP10" s="222"/>
      <c r="AQ10" s="222"/>
      <c r="AR10" s="223">
        <f>_xlfn.XLOOKUP(D10,'Modelling New'!$D:$D,'Modelling New'!$N:$N)</f>
        <v>130</v>
      </c>
      <c r="AS10" s="223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18">
        <f>Table13[[#This Row],[Date]]-DAY(Table13[[#This Row],[Date]])+1</f>
        <v>45748</v>
      </c>
      <c r="E11" s="9">
        <f t="shared" si="0"/>
        <v>30</v>
      </c>
      <c r="F11" s="188">
        <f>IFERROR(_xlfn.XLOOKUP($A11,Input_Raw!$A:$A,Input_Raw!$FC:$FC),"")</f>
        <v>11.366666666666665</v>
      </c>
      <c r="G11" s="178">
        <f>IFERROR(_xlfn.XLOOKUP($A11,Input_Raw!$A:$A,Input_Raw!$CY:$CY),"")</f>
        <v>7.1847138333333245</v>
      </c>
      <c r="H11" s="178">
        <f>IFERROR(_xlfn.XLOOKUP($A11,Input_Raw!$A:$A,Input_Raw!$DA:$DA),"")</f>
        <v>1.3355898833333333</v>
      </c>
      <c r="I11" s="178">
        <f>IFERROR(_xlfn.XLOOKUP($A11,Input_Raw!$A:$A,Input_Raw!$CX:$CX),"")</f>
        <v>7.3114926833333271</v>
      </c>
      <c r="J11" s="178">
        <f>IFERROR(_xlfn.XLOOKUP($A11,Input_Raw!$A:$A,Input_Raw!$CZ:$CZ),"")</f>
        <v>0.8737235333333343</v>
      </c>
      <c r="K11" s="190">
        <f>IFERROR(_xlfn.XLOOKUP($A11,Input_Raw!$A:$A,Input_Raw!$DB:$DB),"")</f>
        <v>33.641074523396867</v>
      </c>
      <c r="L11" s="190">
        <f>IFERROR(_xlfn.XLOOKUP($A11,Input_Raw!$A:$A,Input_Raw!$DC:$DC),"")</f>
        <v>40.8464974003466</v>
      </c>
      <c r="M11" s="189">
        <f>IFERROR(_xlfn.XLOOKUP($A11,Input_Raw!$A:$A,Input_Raw!$DF:$DF),"")</f>
        <v>1.0249913344887345</v>
      </c>
      <c r="N11" s="189">
        <f>IFERROR(_xlfn.XLOOKUP($A11,Input_Raw!$A:$A,Input_Raw!$DG:$DG),"")</f>
        <v>2.88</v>
      </c>
      <c r="O11" s="219">
        <f>IFERROR(1-(SUMIF(Plant_BD!$B:$B,$A11,Plant_BD!$AL:$AL)/($AA11+SUMIF(Plant_BD!$B:$B,$A11,Plant_BD!$AL:$AL))),"")</f>
        <v>1</v>
      </c>
      <c r="P11" s="219"/>
      <c r="Q11" s="220">
        <f>IFERROR(1-(SUMIF(Grid_BD!$B:$B,$A11,Grid_BD!$V:$V)/($AA11+SUMIF(Grid_BD!$B:$B,$A11,Grid_BD!$V:$V))),"")</f>
        <v>1</v>
      </c>
      <c r="R11" s="219">
        <f>IFERROR(1-(SUMIF(Grid_BD!$B:$B,$A11,Grid_BD!$V:$V)/($AA11+SUMIF(Grid_BD!$B:$B,$A11,Grid_BD!$V:$V))),"")</f>
        <v>1</v>
      </c>
      <c r="S11" s="9"/>
      <c r="T11" s="220"/>
      <c r="U11" s="221">
        <f t="shared" si="1"/>
        <v>0.80653040793062247</v>
      </c>
      <c r="V11" s="221">
        <f>IFERROR(_xlfn.XLOOKUP($A11,Input_Raw!$A:$A,Input_Raw!$FG:$FG),"")</f>
        <v>0</v>
      </c>
      <c r="W11" s="222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78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22">
        <f>IFERROR(_xlfn.XLOOKUP($D11,'Modelling New'!$D:$D,'Modelling New'!O:O),"")</f>
        <v>0.76452024028227472</v>
      </c>
      <c r="AF11" s="222">
        <f>IFERROR(_xlfn.XLOOKUP($D11,'Modelling New'!$D:$D,'Modelling New'!W:W),"")</f>
        <v>0.22744477148397671</v>
      </c>
      <c r="AG11" s="222">
        <f>IFERROR(_xlfn.XLOOKUP($D11,'Modelling New'!$D:$D,'Modelling New'!AE:AE),"")</f>
        <v>0.995</v>
      </c>
      <c r="AH11" s="222">
        <f>IFERROR(_xlfn.XLOOKUP($D11,'Modelling New'!$D:$D,'Modelling New'!AF:AF),"")</f>
        <v>0.995</v>
      </c>
      <c r="AI11" s="9"/>
      <c r="AJ11" s="9"/>
      <c r="AK11" s="245"/>
      <c r="AL11" s="245"/>
      <c r="AM11" s="245"/>
      <c r="AN11" s="219"/>
      <c r="AO11" s="222"/>
      <c r="AP11" s="222"/>
      <c r="AQ11" s="222"/>
      <c r="AR11" s="223">
        <f>_xlfn.XLOOKUP(D11,'Modelling New'!$D:$D,'Modelling New'!$N:$N)</f>
        <v>130</v>
      </c>
      <c r="AS11" s="223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18">
        <f>Table13[[#This Row],[Date]]-DAY(Table13[[#This Row],[Date]])+1</f>
        <v>45748</v>
      </c>
      <c r="E12" s="9">
        <f t="shared" si="0"/>
        <v>30</v>
      </c>
      <c r="F12" s="188">
        <f>IFERROR(_xlfn.XLOOKUP($A12,Input_Raw!$A:$A,Input_Raw!$FC:$FC),"")</f>
        <v>11.866666666666665</v>
      </c>
      <c r="G12" s="189">
        <f>IFERROR(_xlfn.XLOOKUP($A12,Input_Raw!$A:$A,Input_Raw!$CY:$CY),"")</f>
        <v>7.0545122499999966</v>
      </c>
      <c r="H12" s="189">
        <f>IFERROR(_xlfn.XLOOKUP($A12,Input_Raw!$A:$A,Input_Raw!$DA:$DA),"")</f>
        <v>1.3287214333333337</v>
      </c>
      <c r="I12" s="189">
        <f>IFERROR(_xlfn.XLOOKUP($A12,Input_Raw!$A:$A,Input_Raw!$CX:$CX),"")</f>
        <v>7.195246400000002</v>
      </c>
      <c r="J12" s="189">
        <f>IFERROR(_xlfn.XLOOKUP($A12,Input_Raw!$A:$A,Input_Raw!$CZ:$CZ),"")</f>
        <v>0.88503054999999997</v>
      </c>
      <c r="K12" s="190">
        <f>IFERROR(_xlfn.XLOOKUP($A12,Input_Raw!$A:$A,Input_Raw!$DB:$DB),"")</f>
        <v>33.79870801033595</v>
      </c>
      <c r="L12" s="190">
        <f>IFERROR(_xlfn.XLOOKUP($A12,Input_Raw!$A:$A,Input_Raw!$DC:$DC),"")</f>
        <v>41.103325581395296</v>
      </c>
      <c r="M12" s="189">
        <f>IFERROR(_xlfn.XLOOKUP($A12,Input_Raw!$A:$A,Input_Raw!$DF:$DF),"")</f>
        <v>0.94429198966408301</v>
      </c>
      <c r="N12" s="189">
        <f>IFERROR(_xlfn.XLOOKUP($A12,Input_Raw!$A:$A,Input_Raw!$DG:$DG),"")</f>
        <v>2.9340000000000002</v>
      </c>
      <c r="O12" s="219">
        <f>IFERROR(1-(SUMIF(Plant_BD!$B:$B,$A12,Plant_BD!$AL:$AL)/($AA12+SUMIF(Plant_BD!$B:$B,$A12,Plant_BD!$AL:$AL))),"")</f>
        <v>0.99859277888447817</v>
      </c>
      <c r="P12" s="219"/>
      <c r="Q12" s="220">
        <f>IFERROR(1-(SUMIF(Grid_BD!$B:$B,$A12,Grid_BD!$V:$V)/($AA12+SUMIF(Grid_BD!$B:$B,$A12,Grid_BD!$V:$V))),"")</f>
        <v>1</v>
      </c>
      <c r="R12" s="219">
        <f>IFERROR(1-(SUMIF(Grid_BD!$B:$B,$A12,Grid_BD!$V:$V)/($AA12+SUMIF(Grid_BD!$B:$B,$A12,Grid_BD!$V:$V))),"")</f>
        <v>1</v>
      </c>
      <c r="S12" s="9"/>
      <c r="T12" s="220"/>
      <c r="U12" s="221">
        <f t="shared" si="1"/>
        <v>0.80003800679226345</v>
      </c>
      <c r="V12" s="221">
        <f>IFERROR(_xlfn.XLOOKUP($A12,Input_Raw!$A:$A,Input_Raw!$FG:$FG),"")</f>
        <v>0</v>
      </c>
      <c r="W12" s="222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78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22">
        <f>IFERROR(_xlfn.XLOOKUP($D12,'Modelling New'!$D:$D,'Modelling New'!O:O),"")</f>
        <v>0.76452024028227472</v>
      </c>
      <c r="AF12" s="222">
        <f>IFERROR(_xlfn.XLOOKUP($D12,'Modelling New'!$D:$D,'Modelling New'!W:W),"")</f>
        <v>0.22744477148397671</v>
      </c>
      <c r="AG12" s="222">
        <f>IFERROR(_xlfn.XLOOKUP($D12,'Modelling New'!$D:$D,'Modelling New'!AE:AE),"")</f>
        <v>0.995</v>
      </c>
      <c r="AH12" s="222">
        <f>IFERROR(_xlfn.XLOOKUP($D12,'Modelling New'!$D:$D,'Modelling New'!AF:AF),"")</f>
        <v>0.995</v>
      </c>
      <c r="AI12" s="9"/>
      <c r="AJ12" s="9"/>
      <c r="AK12" s="245"/>
      <c r="AL12" s="245"/>
      <c r="AM12" s="245"/>
      <c r="AN12" s="219"/>
      <c r="AO12" s="222"/>
      <c r="AP12" s="222"/>
      <c r="AQ12" s="222"/>
      <c r="AR12" s="223">
        <f>_xlfn.XLOOKUP(D12,'Modelling New'!$D:$D,'Modelling New'!$N:$N)</f>
        <v>130</v>
      </c>
      <c r="AS12" s="223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18">
        <f>Table13[[#This Row],[Date]]-DAY(Table13[[#This Row],[Date]])+1</f>
        <v>45748</v>
      </c>
      <c r="E13" s="9">
        <f t="shared" si="0"/>
        <v>30</v>
      </c>
      <c r="F13" s="188">
        <f>IFERROR(_xlfn.XLOOKUP($A13,Input_Raw!$A:$A,Input_Raw!$FC:$FC),"")</f>
        <v>11.75</v>
      </c>
      <c r="G13" s="178">
        <f>IFERROR(_xlfn.XLOOKUP($A13,Input_Raw!$A:$A,Input_Raw!$CY:$CY),"")</f>
        <v>6.2230471166666685</v>
      </c>
      <c r="H13" s="178">
        <f>IFERROR(_xlfn.XLOOKUP($A13,Input_Raw!$A:$A,Input_Raw!$DA:$DA),"")</f>
        <v>1.2042739666666684</v>
      </c>
      <c r="I13" s="178">
        <f>IFERROR(_xlfn.XLOOKUP($A13,Input_Raw!$A:$A,Input_Raw!$CX:$CX),"")</f>
        <v>6.3737436833333359</v>
      </c>
      <c r="J13" s="178">
        <f>IFERROR(_xlfn.XLOOKUP($A13,Input_Raw!$A:$A,Input_Raw!$CZ:$CZ),"")</f>
        <v>0.80677334999999928</v>
      </c>
      <c r="K13" s="190">
        <f>IFERROR(_xlfn.XLOOKUP($A13,Input_Raw!$A:$A,Input_Raw!$DB:$DB),"")</f>
        <v>33.301143884892149</v>
      </c>
      <c r="L13" s="190">
        <f>IFERROR(_xlfn.XLOOKUP($A13,Input_Raw!$A:$A,Input_Raw!$DC:$DC),"")</f>
        <v>43.264656115107854</v>
      </c>
      <c r="M13" s="189">
        <f>IFERROR(_xlfn.XLOOKUP($A13,Input_Raw!$A:$A,Input_Raw!$DF:$DF),"")</f>
        <v>0.67707841726618623</v>
      </c>
      <c r="N13" s="189">
        <f>IFERROR(_xlfn.XLOOKUP($A13,Input_Raw!$A:$A,Input_Raw!$DG:$DG),"")</f>
        <v>2.496</v>
      </c>
      <c r="O13" s="219">
        <f>IFERROR(1-(SUMIF(Plant_BD!$B:$B,$A13,Plant_BD!$AL:$AL)/($AA13+SUMIF(Plant_BD!$B:$B,$A13,Plant_BD!$AL:$AL))),"")</f>
        <v>1</v>
      </c>
      <c r="P13" s="219"/>
      <c r="Q13" s="220">
        <f>IFERROR(1-(SUMIF(Grid_BD!$B:$B,$A13,Grid_BD!$V:$V)/($AA13+SUMIF(Grid_BD!$B:$B,$A13,Grid_BD!$V:$V))),"")</f>
        <v>1</v>
      </c>
      <c r="R13" s="219">
        <f>IFERROR(1-(SUMIF(Grid_BD!$B:$B,$A13,Grid_BD!$V:$V)/($AA13+SUMIF(Grid_BD!$B:$B,$A13,Grid_BD!$V:$V))),"")</f>
        <v>1</v>
      </c>
      <c r="S13" s="9"/>
      <c r="T13" s="220"/>
      <c r="U13" s="221">
        <f t="shared" si="1"/>
        <v>0.82252887718139844</v>
      </c>
      <c r="V13" s="221">
        <f>IFERROR(_xlfn.XLOOKUP($A13,Input_Raw!$A:$A,Input_Raw!$FG:$FG),"")</f>
        <v>0</v>
      </c>
      <c r="W13" s="222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78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22">
        <f>IFERROR(_xlfn.XLOOKUP($D13,'Modelling New'!$D:$D,'Modelling New'!O:O),"")</f>
        <v>0.76452024028227472</v>
      </c>
      <c r="AF13" s="222">
        <f>IFERROR(_xlfn.XLOOKUP($D13,'Modelling New'!$D:$D,'Modelling New'!W:W),"")</f>
        <v>0.22744477148397671</v>
      </c>
      <c r="AG13" s="222">
        <f>IFERROR(_xlfn.XLOOKUP($D13,'Modelling New'!$D:$D,'Modelling New'!AE:AE),"")</f>
        <v>0.995</v>
      </c>
      <c r="AH13" s="222">
        <f>IFERROR(_xlfn.XLOOKUP($D13,'Modelling New'!$D:$D,'Modelling New'!AF:AF),"")</f>
        <v>0.995</v>
      </c>
      <c r="AI13" s="9"/>
      <c r="AJ13" s="9"/>
      <c r="AK13" s="245"/>
      <c r="AL13" s="245"/>
      <c r="AM13" s="245"/>
      <c r="AN13" s="219"/>
      <c r="AO13" s="222"/>
      <c r="AP13" s="222"/>
      <c r="AQ13" s="222"/>
      <c r="AR13" s="223">
        <f>_xlfn.XLOOKUP(D13,'Modelling New'!$D:$D,'Modelling New'!$N:$N)</f>
        <v>130</v>
      </c>
      <c r="AS13" s="223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18">
        <f>Table13[[#This Row],[Date]]-DAY(Table13[[#This Row],[Date]])+1</f>
        <v>45748</v>
      </c>
      <c r="E14" s="9">
        <f t="shared" si="0"/>
        <v>30</v>
      </c>
      <c r="F14" s="188">
        <f>IFERROR(_xlfn.XLOOKUP($A14,Input_Raw!$A:$A,Input_Raw!$FC:$FC),"")</f>
        <v>11.85</v>
      </c>
      <c r="G14" s="189">
        <f>IFERROR(_xlfn.XLOOKUP($A14,Input_Raw!$A:$A,Input_Raw!$CY:$CY),"")</f>
        <v>6.8726599833333353</v>
      </c>
      <c r="H14" s="189">
        <f>IFERROR(_xlfn.XLOOKUP($A14,Input_Raw!$A:$A,Input_Raw!$DA:$DA),"")</f>
        <v>1.3100595666666666</v>
      </c>
      <c r="I14" s="189">
        <f>IFERROR(_xlfn.XLOOKUP($A14,Input_Raw!$A:$A,Input_Raw!$CX:$CX),"")</f>
        <v>7.0734217833333304</v>
      </c>
      <c r="J14" s="189">
        <f>IFERROR(_xlfn.XLOOKUP($A14,Input_Raw!$A:$A,Input_Raw!$CZ:$CZ),"")</f>
        <v>0.90686493333333273</v>
      </c>
      <c r="K14" s="190">
        <f>IFERROR(_xlfn.XLOOKUP($A14,Input_Raw!$A:$A,Input_Raw!$DB:$DB),"")</f>
        <v>34.802471111111082</v>
      </c>
      <c r="L14" s="190">
        <f>IFERROR(_xlfn.XLOOKUP($A14,Input_Raw!$A:$A,Input_Raw!$DC:$DC),"")</f>
        <v>48.381240888888932</v>
      </c>
      <c r="M14" s="189">
        <f>IFERROR(_xlfn.XLOOKUP($A14,Input_Raw!$A:$A,Input_Raw!$DF:$DF),"")</f>
        <v>1.3233893333333344</v>
      </c>
      <c r="N14" s="189">
        <f>IFERROR(_xlfn.XLOOKUP($A14,Input_Raw!$A:$A,Input_Raw!$DG:$DG),"")</f>
        <v>3.4350000000000001</v>
      </c>
      <c r="O14" s="219">
        <f>IFERROR(1-(SUMIF(Plant_BD!$B:$B,$A14,Plant_BD!$AL:$AL)/($AA14+SUMIF(Plant_BD!$B:$B,$A14,Plant_BD!$AL:$AL))),"")</f>
        <v>1</v>
      </c>
      <c r="P14" s="219"/>
      <c r="Q14" s="220">
        <f>IFERROR(1-(SUMIF(Grid_BD!$B:$B,$A14,Grid_BD!$V:$V)/($AA14+SUMIF(Grid_BD!$B:$B,$A14,Grid_BD!$V:$V))),"")</f>
        <v>1</v>
      </c>
      <c r="R14" s="219">
        <f>IFERROR(1-(SUMIF(Grid_BD!$B:$B,$A14,Grid_BD!$V:$V)/($AA14+SUMIF(Grid_BD!$B:$B,$A14,Grid_BD!$V:$V))),"")</f>
        <v>1</v>
      </c>
      <c r="S14" s="9"/>
      <c r="T14" s="220"/>
      <c r="U14" s="221">
        <f t="shared" si="1"/>
        <v>0.8010433734362552</v>
      </c>
      <c r="V14" s="221">
        <f>IFERROR(_xlfn.XLOOKUP($A14,Input_Raw!$A:$A,Input_Raw!$FG:$FG),"")</f>
        <v>0</v>
      </c>
      <c r="W14" s="222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78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22">
        <f>IFERROR(_xlfn.XLOOKUP($D14,'Modelling New'!$D:$D,'Modelling New'!O:O),"")</f>
        <v>0.76452024028227472</v>
      </c>
      <c r="AF14" s="222">
        <f>IFERROR(_xlfn.XLOOKUP($D14,'Modelling New'!$D:$D,'Modelling New'!W:W),"")</f>
        <v>0.22744477148397671</v>
      </c>
      <c r="AG14" s="222">
        <f>IFERROR(_xlfn.XLOOKUP($D14,'Modelling New'!$D:$D,'Modelling New'!AE:AE),"")</f>
        <v>0.995</v>
      </c>
      <c r="AH14" s="222">
        <f>IFERROR(_xlfn.XLOOKUP($D14,'Modelling New'!$D:$D,'Modelling New'!AF:AF),"")</f>
        <v>0.995</v>
      </c>
      <c r="AI14" s="9"/>
      <c r="AJ14" s="9"/>
      <c r="AK14" s="245"/>
      <c r="AL14" s="245"/>
      <c r="AM14" s="245"/>
      <c r="AN14" s="219"/>
      <c r="AO14" s="222"/>
      <c r="AP14" s="222"/>
      <c r="AQ14" s="222"/>
      <c r="AR14" s="223">
        <f>_xlfn.XLOOKUP(D14,'Modelling New'!$D:$D,'Modelling New'!$N:$N)</f>
        <v>130</v>
      </c>
      <c r="AS14" s="223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18">
        <f>Table13[[#This Row],[Date]]-DAY(Table13[[#This Row],[Date]])+1</f>
        <v>45748</v>
      </c>
      <c r="E15" s="9">
        <f t="shared" si="0"/>
        <v>30</v>
      </c>
      <c r="F15" s="188">
        <f>IFERROR(_xlfn.XLOOKUP($A15,Input_Raw!$A:$A,Input_Raw!$FC:$FC),"")</f>
        <v>11.866666666666665</v>
      </c>
      <c r="G15" s="178">
        <f>IFERROR(_xlfn.XLOOKUP($A15,Input_Raw!$A:$A,Input_Raw!$CY:$CY),"")</f>
        <v>6.9105347333333302</v>
      </c>
      <c r="H15" s="178">
        <f>IFERROR(_xlfn.XLOOKUP($A15,Input_Raw!$A:$A,Input_Raw!$DA:$DA),"")</f>
        <v>1.3228814166666651</v>
      </c>
      <c r="I15" s="178">
        <f>IFERROR(_xlfn.XLOOKUP($A15,Input_Raw!$A:$A,Input_Raw!$CX:$CX),"")</f>
        <v>7.0755978333333296</v>
      </c>
      <c r="J15" s="178">
        <f>IFERROR(_xlfn.XLOOKUP($A15,Input_Raw!$A:$A,Input_Raw!$CZ:$CZ),"")</f>
        <v>0.903054466666667</v>
      </c>
      <c r="K15" s="190">
        <f>IFERROR(_xlfn.XLOOKUP($A15,Input_Raw!$A:$A,Input_Raw!$DB:$DB),"")</f>
        <v>32.857876480541414</v>
      </c>
      <c r="L15" s="190">
        <f>IFERROR(_xlfn.XLOOKUP($A15,Input_Raw!$A:$A,Input_Raw!$DC:$DC),"")</f>
        <v>45.95619543147204</v>
      </c>
      <c r="M15" s="189">
        <f>IFERROR(_xlfn.XLOOKUP($A15,Input_Raw!$A:$A,Input_Raw!$DF:$DF),"")</f>
        <v>1.4104035532994941</v>
      </c>
      <c r="N15" s="189">
        <f>IFERROR(_xlfn.XLOOKUP($A15,Input_Raw!$A:$A,Input_Raw!$DG:$DG),"")</f>
        <v>3.3119999999999998</v>
      </c>
      <c r="O15" s="219">
        <f>IFERROR(1-(SUMIF(Plant_BD!$B:$B,$A15,Plant_BD!$AL:$AL)/($AA15+SUMIF(Plant_BD!$B:$B,$A15,Plant_BD!$AL:$AL))),"")</f>
        <v>1</v>
      </c>
      <c r="P15" s="219"/>
      <c r="Q15" s="220">
        <f>IFERROR(1-(SUMIF(Grid_BD!$B:$B,$A15,Grid_BD!$V:$V)/($AA15+SUMIF(Grid_BD!$B:$B,$A15,Grid_BD!$V:$V))),"")</f>
        <v>1</v>
      </c>
      <c r="R15" s="219">
        <f>IFERROR(1-(SUMIF(Grid_BD!$B:$B,$A15,Grid_BD!$V:$V)/($AA15+SUMIF(Grid_BD!$B:$B,$A15,Grid_BD!$V:$V))),"")</f>
        <v>1</v>
      </c>
      <c r="S15" s="9"/>
      <c r="T15" s="220"/>
      <c r="U15" s="221">
        <f t="shared" si="1"/>
        <v>0.81695861245863133</v>
      </c>
      <c r="V15" s="221">
        <f>IFERROR(_xlfn.XLOOKUP($A15,Input_Raw!$A:$A,Input_Raw!$FG:$FG),"")</f>
        <v>0</v>
      </c>
      <c r="W15" s="222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78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22">
        <f>IFERROR(_xlfn.XLOOKUP($D15,'Modelling New'!$D:$D,'Modelling New'!O:O),"")</f>
        <v>0.76452024028227472</v>
      </c>
      <c r="AF15" s="222">
        <f>IFERROR(_xlfn.XLOOKUP($D15,'Modelling New'!$D:$D,'Modelling New'!W:W),"")</f>
        <v>0.22744477148397671</v>
      </c>
      <c r="AG15" s="222">
        <f>IFERROR(_xlfn.XLOOKUP($D15,'Modelling New'!$D:$D,'Modelling New'!AE:AE),"")</f>
        <v>0.995</v>
      </c>
      <c r="AH15" s="222">
        <f>IFERROR(_xlfn.XLOOKUP($D15,'Modelling New'!$D:$D,'Modelling New'!AF:AF),"")</f>
        <v>0.995</v>
      </c>
      <c r="AI15" s="9"/>
      <c r="AJ15" s="9"/>
      <c r="AK15" s="245"/>
      <c r="AL15" s="245"/>
      <c r="AM15" s="245"/>
      <c r="AN15" s="219"/>
      <c r="AO15" s="222"/>
      <c r="AP15" s="222"/>
      <c r="AQ15" s="222"/>
      <c r="AR15" s="223">
        <f>_xlfn.XLOOKUP(D15,'Modelling New'!$D:$D,'Modelling New'!$N:$N)</f>
        <v>130</v>
      </c>
      <c r="AS15" s="223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18">
        <f>Table13[[#This Row],[Date]]-DAY(Table13[[#This Row],[Date]])+1</f>
        <v>45748</v>
      </c>
      <c r="E16" s="9">
        <f t="shared" si="0"/>
        <v>30</v>
      </c>
      <c r="F16" s="188">
        <f>IFERROR(_xlfn.XLOOKUP($A16,Input_Raw!$A:$A,Input_Raw!$FC:$FC),"")</f>
        <v>11.966666666666669</v>
      </c>
      <c r="G16" s="189">
        <f>IFERROR(_xlfn.XLOOKUP($A16,Input_Raw!$A:$A,Input_Raw!$CY:$CY),"")</f>
        <v>6.9940562999999969</v>
      </c>
      <c r="H16" s="189">
        <f>IFERROR(_xlfn.XLOOKUP($A16,Input_Raw!$A:$A,Input_Raw!$DA:$DA),"")</f>
        <v>1.3164961666666657</v>
      </c>
      <c r="I16" s="189">
        <f>IFERROR(_xlfn.XLOOKUP($A16,Input_Raw!$A:$A,Input_Raw!$CX:$CX),"")</f>
        <v>7.132342966666652</v>
      </c>
      <c r="J16" s="189">
        <f>IFERROR(_xlfn.XLOOKUP($A16,Input_Raw!$A:$A,Input_Raw!$CZ:$CZ),"")</f>
        <v>0.88438691666666613</v>
      </c>
      <c r="K16" s="190">
        <f>IFERROR(_xlfn.XLOOKUP($A16,Input_Raw!$A:$A,Input_Raw!$DB:$DB),"")</f>
        <v>30.362980599647294</v>
      </c>
      <c r="L16" s="190">
        <f>IFERROR(_xlfn.XLOOKUP($A16,Input_Raw!$A:$A,Input_Raw!$DC:$DC),"")</f>
        <v>44.854952380952348</v>
      </c>
      <c r="M16" s="189">
        <f>IFERROR(_xlfn.XLOOKUP($A16,Input_Raw!$A:$A,Input_Raw!$DF:$DF),"")</f>
        <v>1.3114761904761902</v>
      </c>
      <c r="N16" s="189">
        <f>IFERROR(_xlfn.XLOOKUP($A16,Input_Raw!$A:$A,Input_Raw!$DG:$DG),"")</f>
        <v>2.9550000000000001</v>
      </c>
      <c r="O16" s="219">
        <f>IFERROR(1-(SUMIF(Plant_BD!$B:$B,$A16,Plant_BD!$AL:$AL)/($AA16+SUMIF(Plant_BD!$B:$B,$A16,Plant_BD!$AL:$AL))),"")</f>
        <v>0.99148819335128846</v>
      </c>
      <c r="P16" s="219"/>
      <c r="Q16" s="220">
        <f>IFERROR(1-(SUMIF(Grid_BD!$B:$B,$A16,Grid_BD!$V:$V)/($AA16+SUMIF(Grid_BD!$B:$B,$A16,Grid_BD!$V:$V))),"")</f>
        <v>1</v>
      </c>
      <c r="R16" s="219">
        <f>IFERROR(1-(SUMIF(Grid_BD!$B:$B,$A16,Grid_BD!$V:$V)/($AA16+SUMIF(Grid_BD!$B:$B,$A16,Grid_BD!$V:$V))),"")</f>
        <v>1</v>
      </c>
      <c r="S16" s="9"/>
      <c r="T16" s="220"/>
      <c r="U16" s="221">
        <f t="shared" si="1"/>
        <v>0.79630626826389239</v>
      </c>
      <c r="V16" s="221">
        <f>IFERROR(_xlfn.XLOOKUP($A16,Input_Raw!$A:$A,Input_Raw!$FG:$FG),"")</f>
        <v>0</v>
      </c>
      <c r="W16" s="222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78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22">
        <f>IFERROR(_xlfn.XLOOKUP($D16,'Modelling New'!$D:$D,'Modelling New'!O:O),"")</f>
        <v>0.76452024028227472</v>
      </c>
      <c r="AF16" s="222">
        <f>IFERROR(_xlfn.XLOOKUP($D16,'Modelling New'!$D:$D,'Modelling New'!W:W),"")</f>
        <v>0.22744477148397671</v>
      </c>
      <c r="AG16" s="222">
        <f>IFERROR(_xlfn.XLOOKUP($D16,'Modelling New'!$D:$D,'Modelling New'!AE:AE),"")</f>
        <v>0.995</v>
      </c>
      <c r="AH16" s="222">
        <f>IFERROR(_xlfn.XLOOKUP($D16,'Modelling New'!$D:$D,'Modelling New'!AF:AF),"")</f>
        <v>0.995</v>
      </c>
      <c r="AI16" s="9"/>
      <c r="AJ16" s="9"/>
      <c r="AK16" s="245"/>
      <c r="AL16" s="245"/>
      <c r="AM16" s="245"/>
      <c r="AN16" s="219"/>
      <c r="AO16" s="222"/>
      <c r="AP16" s="222"/>
      <c r="AQ16" s="222"/>
      <c r="AR16" s="223">
        <f>_xlfn.XLOOKUP(D16,'Modelling New'!$D:$D,'Modelling New'!$N:$N)</f>
        <v>130</v>
      </c>
      <c r="AS16" s="223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18">
        <f>Table13[[#This Row],[Date]]-DAY(Table13[[#This Row],[Date]])+1</f>
        <v>45748</v>
      </c>
      <c r="E17" s="9">
        <f t="shared" si="0"/>
        <v>30</v>
      </c>
      <c r="F17" s="188">
        <f>IFERROR(_xlfn.XLOOKUP($A17,Input_Raw!$A:$A,Input_Raw!$FC:$FC),"")</f>
        <v>11.983333333333334</v>
      </c>
      <c r="G17" s="178">
        <f>IFERROR(_xlfn.XLOOKUP($A17,Input_Raw!$A:$A,Input_Raw!$CY:$CY),"")</f>
        <v>7.1595291833333459</v>
      </c>
      <c r="H17" s="178">
        <f>IFERROR(_xlfn.XLOOKUP($A17,Input_Raw!$A:$A,Input_Raw!$DA:$DA),"")</f>
        <v>1.3927207166666655</v>
      </c>
      <c r="I17" s="178">
        <f>IFERROR(_xlfn.XLOOKUP($A17,Input_Raw!$A:$A,Input_Raw!$CX:$CX),"")</f>
        <v>7.2977119500000018</v>
      </c>
      <c r="J17" s="178">
        <f>IFERROR(_xlfn.XLOOKUP($A17,Input_Raw!$A:$A,Input_Raw!$CZ:$CZ),"")</f>
        <v>0.93395558333333362</v>
      </c>
      <c r="K17" s="190">
        <f>IFERROR(_xlfn.XLOOKUP($A17,Input_Raw!$A:$A,Input_Raw!$DB:$DB),"")</f>
        <v>31.349423076923117</v>
      </c>
      <c r="L17" s="190">
        <f>IFERROR(_xlfn.XLOOKUP($A17,Input_Raw!$A:$A,Input_Raw!$DC:$DC),"")</f>
        <v>44.587847692307705</v>
      </c>
      <c r="M17" s="189">
        <f>IFERROR(_xlfn.XLOOKUP($A17,Input_Raw!$A:$A,Input_Raw!$DF:$DF),"")</f>
        <v>1.2587630769230778</v>
      </c>
      <c r="N17" s="189">
        <f>IFERROR(_xlfn.XLOOKUP($A17,Input_Raw!$A:$A,Input_Raw!$DG:$DG),"")</f>
        <v>2.5920000000000001</v>
      </c>
      <c r="O17" s="219">
        <f>IFERROR(1-(SUMIF(Plant_BD!$B:$B,$A17,Plant_BD!$AL:$AL)/($AA17+SUMIF(Plant_BD!$B:$B,$A17,Plant_BD!$AL:$AL))),"")</f>
        <v>0.96950107417349762</v>
      </c>
      <c r="P17" s="219"/>
      <c r="Q17" s="220">
        <f>IFERROR(1-(SUMIF(Grid_BD!$B:$B,$A17,Grid_BD!$V:$V)/($AA17+SUMIF(Grid_BD!$B:$B,$A17,Grid_BD!$V:$V))),"")</f>
        <v>1</v>
      </c>
      <c r="R17" s="219">
        <f>IFERROR(1-(SUMIF(Grid_BD!$B:$B,$A17,Grid_BD!$V:$V)/($AA17+SUMIF(Grid_BD!$B:$B,$A17,Grid_BD!$V:$V))),"")</f>
        <v>1</v>
      </c>
      <c r="S17" s="9"/>
      <c r="T17" s="220"/>
      <c r="U17" s="221">
        <f t="shared" si="1"/>
        <v>0.76646102271903471</v>
      </c>
      <c r="V17" s="221">
        <f>IFERROR(_xlfn.XLOOKUP($A17,Input_Raw!$A:$A,Input_Raw!$FG:$FG),"")</f>
        <v>0</v>
      </c>
      <c r="W17" s="222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78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22">
        <f>IFERROR(_xlfn.XLOOKUP($D17,'Modelling New'!$D:$D,'Modelling New'!O:O),"")</f>
        <v>0.76452024028227472</v>
      </c>
      <c r="AF17" s="222">
        <f>IFERROR(_xlfn.XLOOKUP($D17,'Modelling New'!$D:$D,'Modelling New'!W:W),"")</f>
        <v>0.22744477148397671</v>
      </c>
      <c r="AG17" s="222">
        <f>IFERROR(_xlfn.XLOOKUP($D17,'Modelling New'!$D:$D,'Modelling New'!AE:AE),"")</f>
        <v>0.995</v>
      </c>
      <c r="AH17" s="222">
        <f>IFERROR(_xlfn.XLOOKUP($D17,'Modelling New'!$D:$D,'Modelling New'!AF:AF),"")</f>
        <v>0.995</v>
      </c>
      <c r="AI17" s="9"/>
      <c r="AJ17" s="9"/>
      <c r="AK17" s="245"/>
      <c r="AL17" s="245"/>
      <c r="AM17" s="245"/>
      <c r="AN17" s="219"/>
      <c r="AO17" s="222"/>
      <c r="AP17" s="222"/>
      <c r="AQ17" s="222"/>
      <c r="AR17" s="223">
        <f>_xlfn.XLOOKUP(D17,'Modelling New'!$D:$D,'Modelling New'!$N:$N)</f>
        <v>130</v>
      </c>
      <c r="AS17" s="223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18">
        <f>Table13[[#This Row],[Date]]-DAY(Table13[[#This Row],[Date]])+1</f>
        <v>45748</v>
      </c>
      <c r="E18" s="9">
        <f t="shared" si="0"/>
        <v>30</v>
      </c>
      <c r="F18" s="188">
        <f>IFERROR(_xlfn.XLOOKUP($A18,Input_Raw!$A:$A,Input_Raw!$FC:$FC),"")</f>
        <v>11.916666666666668</v>
      </c>
      <c r="G18" s="189">
        <f>IFERROR(_xlfn.XLOOKUP($A18,Input_Raw!$A:$A,Input_Raw!$CY:$CY),"")</f>
        <v>7.1232418333333234</v>
      </c>
      <c r="H18" s="189">
        <f>IFERROR(_xlfn.XLOOKUP($A18,Input_Raw!$A:$A,Input_Raw!$DA:$DA),"")</f>
        <v>1.3867391333333356</v>
      </c>
      <c r="I18" s="189">
        <f>IFERROR(_xlfn.XLOOKUP($A18,Input_Raw!$A:$A,Input_Raw!$CX:$CX),"")</f>
        <v>7.251993583333336</v>
      </c>
      <c r="J18" s="189">
        <f>IFERROR(_xlfn.XLOOKUP($A18,Input_Raw!$A:$A,Input_Raw!$CZ:$CZ),"")</f>
        <v>0.94167478333333277</v>
      </c>
      <c r="K18" s="190">
        <f>IFERROR(_xlfn.XLOOKUP($A18,Input_Raw!$A:$A,Input_Raw!$DB:$DB),"")</f>
        <v>32.894079295154185</v>
      </c>
      <c r="L18" s="190">
        <f>IFERROR(_xlfn.XLOOKUP($A18,Input_Raw!$A:$A,Input_Raw!$DC:$DC),"")</f>
        <v>47.343733039647553</v>
      </c>
      <c r="M18" s="189">
        <f>IFERROR(_xlfn.XLOOKUP($A18,Input_Raw!$A:$A,Input_Raw!$DF:$DF),"")</f>
        <v>1.1613374449339202</v>
      </c>
      <c r="N18" s="189">
        <f>IFERROR(_xlfn.XLOOKUP($A18,Input_Raw!$A:$A,Input_Raw!$DG:$DG),"")</f>
        <v>2.4</v>
      </c>
      <c r="O18" s="219">
        <f>IFERROR(1-(SUMIF(Plant_BD!$B:$B,$A18,Plant_BD!$AL:$AL)/($AA18+SUMIF(Plant_BD!$B:$B,$A18,Plant_BD!$AL:$AL))),"")</f>
        <v>0.96032018154711929</v>
      </c>
      <c r="P18" s="219"/>
      <c r="Q18" s="220">
        <f>IFERROR(1-(SUMIF(Grid_BD!$B:$B,$A18,Grid_BD!$V:$V)/($AA18+SUMIF(Grid_BD!$B:$B,$A18,Grid_BD!$V:$V))),"")</f>
        <v>1</v>
      </c>
      <c r="R18" s="219">
        <f>IFERROR(1-(SUMIF(Grid_BD!$B:$B,$A18,Grid_BD!$V:$V)/($AA18+SUMIF(Grid_BD!$B:$B,$A18,Grid_BD!$V:$V))),"")</f>
        <v>1</v>
      </c>
      <c r="S18" s="9"/>
      <c r="T18" s="220"/>
      <c r="U18" s="221">
        <f t="shared" si="1"/>
        <v>0.77024731299624771</v>
      </c>
      <c r="V18" s="221">
        <f>IFERROR(_xlfn.XLOOKUP($A18,Input_Raw!$A:$A,Input_Raw!$FG:$FG),"")</f>
        <v>0</v>
      </c>
      <c r="W18" s="222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78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22">
        <f>IFERROR(_xlfn.XLOOKUP($D18,'Modelling New'!$D:$D,'Modelling New'!O:O),"")</f>
        <v>0.76452024028227472</v>
      </c>
      <c r="AF18" s="222">
        <f>IFERROR(_xlfn.XLOOKUP($D18,'Modelling New'!$D:$D,'Modelling New'!W:W),"")</f>
        <v>0.22744477148397671</v>
      </c>
      <c r="AG18" s="222">
        <f>IFERROR(_xlfn.XLOOKUP($D18,'Modelling New'!$D:$D,'Modelling New'!AE:AE),"")</f>
        <v>0.995</v>
      </c>
      <c r="AH18" s="222">
        <f>IFERROR(_xlfn.XLOOKUP($D18,'Modelling New'!$D:$D,'Modelling New'!AF:AF),"")</f>
        <v>0.995</v>
      </c>
      <c r="AI18" s="9"/>
      <c r="AJ18" s="9"/>
      <c r="AK18" s="245"/>
      <c r="AL18" s="245"/>
      <c r="AM18" s="245"/>
      <c r="AN18" s="219"/>
      <c r="AO18" s="222"/>
      <c r="AP18" s="222"/>
      <c r="AQ18" s="222"/>
      <c r="AR18" s="223">
        <f>_xlfn.XLOOKUP(D18,'Modelling New'!$D:$D,'Modelling New'!$N:$N)</f>
        <v>130</v>
      </c>
      <c r="AS18" s="223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18">
        <f>Table13[[#This Row],[Date]]-DAY(Table13[[#This Row],[Date]])+1</f>
        <v>45748</v>
      </c>
      <c r="E19" s="9">
        <f t="shared" si="0"/>
        <v>30</v>
      </c>
      <c r="F19" s="188">
        <f>IFERROR(_xlfn.XLOOKUP($A19,Input_Raw!$A:$A,Input_Raw!$FC:$FC),"")</f>
        <v>12</v>
      </c>
      <c r="G19" s="178">
        <f>IFERROR(_xlfn.XLOOKUP($A19,Input_Raw!$A:$A,Input_Raw!$CY:$CY),"")</f>
        <v>7.0363546166666593</v>
      </c>
      <c r="H19" s="178">
        <f>IFERROR(_xlfn.XLOOKUP($A19,Input_Raw!$A:$A,Input_Raw!$DA:$DA),"")</f>
        <v>1.3790044999999982</v>
      </c>
      <c r="I19" s="178">
        <f>IFERROR(_xlfn.XLOOKUP($A19,Input_Raw!$A:$A,Input_Raw!$CX:$CX),"")</f>
        <v>7.1474630166666611</v>
      </c>
      <c r="J19" s="178">
        <f>IFERROR(_xlfn.XLOOKUP($A19,Input_Raw!$A:$A,Input_Raw!$CZ:$CZ),"")</f>
        <v>0.92568135000000074</v>
      </c>
      <c r="K19" s="190">
        <f>IFERROR(_xlfn.XLOOKUP($A19,Input_Raw!$A:$A,Input_Raw!$DB:$DB),"")</f>
        <v>33.69563492063493</v>
      </c>
      <c r="L19" s="190">
        <f>IFERROR(_xlfn.XLOOKUP($A19,Input_Raw!$A:$A,Input_Raw!$DC:$DC),"")</f>
        <v>47.241304232804232</v>
      </c>
      <c r="M19" s="189">
        <f>IFERROR(_xlfn.XLOOKUP($A19,Input_Raw!$A:$A,Input_Raw!$DF:$DF),"")</f>
        <v>1.3764973544973564</v>
      </c>
      <c r="N19" s="189">
        <f>IFERROR(_xlfn.XLOOKUP($A19,Input_Raw!$A:$A,Input_Raw!$DG:$DG),"")</f>
        <v>2.8740000000000001</v>
      </c>
      <c r="O19" s="219">
        <f>IFERROR(1-(SUMIF(Plant_BD!$B:$B,$A19,Plant_BD!$AL:$AL)/($AA19+SUMIF(Plant_BD!$B:$B,$A19,Plant_BD!$AL:$AL))),"")</f>
        <v>0.9593522160138519</v>
      </c>
      <c r="P19" s="219"/>
      <c r="Q19" s="220">
        <f>IFERROR(1-(SUMIF(Grid_BD!$B:$B,$A19,Grid_BD!$V:$V)/($AA19+SUMIF(Grid_BD!$B:$B,$A19,Grid_BD!$V:$V))),"")</f>
        <v>1</v>
      </c>
      <c r="R19" s="219">
        <f>IFERROR(1-(SUMIF(Grid_BD!$B:$B,$A19,Grid_BD!$V:$V)/($AA19+SUMIF(Grid_BD!$B:$B,$A19,Grid_BD!$V:$V))),"")</f>
        <v>1</v>
      </c>
      <c r="S19" s="9"/>
      <c r="T19" s="220"/>
      <c r="U19" s="221">
        <f t="shared" si="1"/>
        <v>0.76213255990443596</v>
      </c>
      <c r="V19" s="221">
        <f>IFERROR(_xlfn.XLOOKUP($A19,Input_Raw!$A:$A,Input_Raw!$FG:$FG),"")</f>
        <v>0</v>
      </c>
      <c r="W19" s="222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78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22">
        <f>IFERROR(_xlfn.XLOOKUP($D19,'Modelling New'!$D:$D,'Modelling New'!O:O),"")</f>
        <v>0.76452024028227472</v>
      </c>
      <c r="AF19" s="222">
        <f>IFERROR(_xlfn.XLOOKUP($D19,'Modelling New'!$D:$D,'Modelling New'!W:W),"")</f>
        <v>0.22744477148397671</v>
      </c>
      <c r="AG19" s="222">
        <f>IFERROR(_xlfn.XLOOKUP($D19,'Modelling New'!$D:$D,'Modelling New'!AE:AE),"")</f>
        <v>0.995</v>
      </c>
      <c r="AH19" s="222">
        <f>IFERROR(_xlfn.XLOOKUP($D19,'Modelling New'!$D:$D,'Modelling New'!AF:AF),"")</f>
        <v>0.995</v>
      </c>
      <c r="AI19" s="9"/>
      <c r="AJ19" s="9"/>
      <c r="AK19" s="245"/>
      <c r="AL19" s="245"/>
      <c r="AM19" s="245"/>
      <c r="AN19" s="219"/>
      <c r="AO19" s="222"/>
      <c r="AP19" s="222"/>
      <c r="AQ19" s="222"/>
      <c r="AR19" s="223">
        <f>_xlfn.XLOOKUP(D19,'Modelling New'!$D:$D,'Modelling New'!$N:$N)</f>
        <v>130</v>
      </c>
      <c r="AS19" s="223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18">
        <f>Table13[[#This Row],[Date]]-DAY(Table13[[#This Row],[Date]])+1</f>
        <v>45748</v>
      </c>
      <c r="E20" s="9">
        <f t="shared" si="0"/>
        <v>30</v>
      </c>
      <c r="F20" s="188">
        <f>IFERROR(_xlfn.XLOOKUP($A20,Input_Raw!$A:$A,Input_Raw!$FC:$FC),"")</f>
        <v>11.5</v>
      </c>
      <c r="G20" s="189">
        <f>IFERROR(_xlfn.XLOOKUP($A20,Input_Raw!$A:$A,Input_Raw!$CY:$CY),"")</f>
        <v>6.3113735000000091</v>
      </c>
      <c r="H20" s="189">
        <f>IFERROR(_xlfn.XLOOKUP($A20,Input_Raw!$A:$A,Input_Raw!$DA:$DA),"")</f>
        <v>1.2429307333333328</v>
      </c>
      <c r="I20" s="189">
        <f>IFERROR(_xlfn.XLOOKUP($A20,Input_Raw!$A:$A,Input_Raw!$CX:$CX),"")</f>
        <v>6.420340383333329</v>
      </c>
      <c r="J20" s="189">
        <f>IFERROR(_xlfn.XLOOKUP($A20,Input_Raw!$A:$A,Input_Raw!$CZ:$CZ),"")</f>
        <v>0.8414362833333342</v>
      </c>
      <c r="K20" s="190">
        <f>IFERROR(_xlfn.XLOOKUP($A20,Input_Raw!$A:$A,Input_Raw!$DB:$DB),"")</f>
        <v>33.827604501607738</v>
      </c>
      <c r="L20" s="190">
        <f>IFERROR(_xlfn.XLOOKUP($A20,Input_Raw!$A:$A,Input_Raw!$DC:$DC),"")</f>
        <v>46.984334405144693</v>
      </c>
      <c r="M20" s="189">
        <f>IFERROR(_xlfn.XLOOKUP($A20,Input_Raw!$A:$A,Input_Raw!$DF:$DF),"")</f>
        <v>1.0567837620578757</v>
      </c>
      <c r="N20" s="189">
        <f>IFERROR(_xlfn.XLOOKUP($A20,Input_Raw!$A:$A,Input_Raw!$DG:$DG),"")</f>
        <v>3.0089999999999999</v>
      </c>
      <c r="O20" s="219">
        <f>IFERROR(1-(SUMIF(Plant_BD!$B:$B,$A20,Plant_BD!$AL:$AL)/($AA20+SUMIF(Plant_BD!$B:$B,$A20,Plant_BD!$AL:$AL))),"")</f>
        <v>0.96178509008194923</v>
      </c>
      <c r="P20" s="219"/>
      <c r="Q20" s="220">
        <f>IFERROR(1-(SUMIF(Grid_BD!$B:$B,$A20,Grid_BD!$V:$V)/($AA20+SUMIF(Grid_BD!$B:$B,$A20,Grid_BD!$V:$V))),"")</f>
        <v>1</v>
      </c>
      <c r="R20" s="219">
        <f>IFERROR(1-(SUMIF(Grid_BD!$B:$B,$A20,Grid_BD!$V:$V)/($AA20+SUMIF(Grid_BD!$B:$B,$A20,Grid_BD!$V:$V))),"")</f>
        <v>1</v>
      </c>
      <c r="S20" s="9"/>
      <c r="T20" s="220"/>
      <c r="U20" s="221">
        <f t="shared" si="1"/>
        <v>0.7754996045842717</v>
      </c>
      <c r="V20" s="221">
        <f>IFERROR(_xlfn.XLOOKUP($A20,Input_Raw!$A:$A,Input_Raw!$FG:$FG),"")</f>
        <v>0</v>
      </c>
      <c r="W20" s="222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78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22">
        <f>IFERROR(_xlfn.XLOOKUP($D20,'Modelling New'!$D:$D,'Modelling New'!O:O),"")</f>
        <v>0.76452024028227472</v>
      </c>
      <c r="AF20" s="222">
        <f>IFERROR(_xlfn.XLOOKUP($D20,'Modelling New'!$D:$D,'Modelling New'!W:W),"")</f>
        <v>0.22744477148397671</v>
      </c>
      <c r="AG20" s="222">
        <f>IFERROR(_xlfn.XLOOKUP($D20,'Modelling New'!$D:$D,'Modelling New'!AE:AE),"")</f>
        <v>0.995</v>
      </c>
      <c r="AH20" s="222">
        <f>IFERROR(_xlfn.XLOOKUP($D20,'Modelling New'!$D:$D,'Modelling New'!AF:AF),"")</f>
        <v>0.995</v>
      </c>
      <c r="AI20" s="9"/>
      <c r="AJ20" s="9"/>
      <c r="AK20" s="245"/>
      <c r="AL20" s="245"/>
      <c r="AM20" s="245"/>
      <c r="AN20" s="219"/>
      <c r="AO20" s="222"/>
      <c r="AP20" s="222"/>
      <c r="AQ20" s="222"/>
      <c r="AR20" s="223">
        <f>_xlfn.XLOOKUP(D20,'Modelling New'!$D:$D,'Modelling New'!$N:$N)</f>
        <v>130</v>
      </c>
      <c r="AS20" s="223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18">
        <f>Table13[[#This Row],[Date]]-DAY(Table13[[#This Row],[Date]])+1</f>
        <v>45748</v>
      </c>
      <c r="E21" s="9">
        <f t="shared" si="0"/>
        <v>30</v>
      </c>
      <c r="F21" s="188">
        <f>IFERROR(_xlfn.XLOOKUP($A21,Input_Raw!$A:$A,Input_Raw!$FC:$FC),"")</f>
        <v>11.933333333333332</v>
      </c>
      <c r="G21" s="178">
        <f>IFERROR(_xlfn.XLOOKUP($A21,Input_Raw!$A:$A,Input_Raw!$CY:$CY),"")</f>
        <v>7.0730000000000004</v>
      </c>
      <c r="H21" s="178">
        <f>IFERROR(_xlfn.XLOOKUP($A21,Input_Raw!$A:$A,Input_Raw!$DA:$DA),"")</f>
        <v>1.3979999999999999</v>
      </c>
      <c r="I21" s="178">
        <f>IFERROR(_xlfn.XLOOKUP($A21,Input_Raw!$A:$A,Input_Raw!$CX:$CX),"")</f>
        <v>7.149</v>
      </c>
      <c r="J21" s="178">
        <f>IFERROR(_xlfn.XLOOKUP($A21,Input_Raw!$A:$A,Input_Raw!$CZ:$CZ),"")</f>
        <v>0.92800000000000005</v>
      </c>
      <c r="K21" s="190">
        <f>IFERROR(_xlfn.XLOOKUP($A21,Input_Raw!$A:$A,Input_Raw!$DB:$DB),"")</f>
        <v>34.167000000000002</v>
      </c>
      <c r="L21" s="190">
        <f>IFERROR(_xlfn.XLOOKUP($A21,Input_Raw!$A:$A,Input_Raw!$DC:$DC),"")</f>
        <v>45.872999999999998</v>
      </c>
      <c r="M21" s="189">
        <f>IFERROR(_xlfn.XLOOKUP($A21,Input_Raw!$A:$A,Input_Raw!$DF:$DF),"")</f>
        <v>1.0720000000000001</v>
      </c>
      <c r="N21" s="189">
        <f>IFERROR(_xlfn.XLOOKUP($A21,Input_Raw!$A:$A,Input_Raw!$DG:$DG),"")</f>
        <v>2.58</v>
      </c>
      <c r="O21" s="219">
        <f>IFERROR(1-(SUMIF(Plant_BD!$B:$B,$A21,Plant_BD!$AL:$AL)/($AA21+SUMIF(Plant_BD!$B:$B,$A21,Plant_BD!$AL:$AL))),"")</f>
        <v>0.99915985938900487</v>
      </c>
      <c r="P21" s="219"/>
      <c r="Q21" s="220">
        <f>IFERROR(1-(SUMIF(Grid_BD!$B:$B,$A21,Grid_BD!$V:$V)/($AA21+SUMIF(Grid_BD!$B:$B,$A21,Grid_BD!$V:$V))),"")</f>
        <v>1</v>
      </c>
      <c r="R21" s="219">
        <f>IFERROR(1-(SUMIF(Grid_BD!$B:$B,$A21,Grid_BD!$V:$V)/($AA21+SUMIF(Grid_BD!$B:$B,$A21,Grid_BD!$V:$V))),"")</f>
        <v>1</v>
      </c>
      <c r="S21" s="9"/>
      <c r="T21" s="220"/>
      <c r="U21" s="221">
        <f t="shared" si="1"/>
        <v>0.78633175469096028</v>
      </c>
      <c r="V21" s="221">
        <f>IFERROR(_xlfn.XLOOKUP($A21,Input_Raw!$A:$A,Input_Raw!$FG:$FG),"")</f>
        <v>0</v>
      </c>
      <c r="W21" s="222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78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22">
        <f>IFERROR(_xlfn.XLOOKUP($D21,'Modelling New'!$D:$D,'Modelling New'!O:O),"")</f>
        <v>0.76452024028227472</v>
      </c>
      <c r="AF21" s="222">
        <f>IFERROR(_xlfn.XLOOKUP($D21,'Modelling New'!$D:$D,'Modelling New'!W:W),"")</f>
        <v>0.22744477148397671</v>
      </c>
      <c r="AG21" s="222">
        <f>IFERROR(_xlfn.XLOOKUP($D21,'Modelling New'!$D:$D,'Modelling New'!AE:AE),"")</f>
        <v>0.995</v>
      </c>
      <c r="AH21" s="222">
        <f>IFERROR(_xlfn.XLOOKUP($D21,'Modelling New'!$D:$D,'Modelling New'!AF:AF),"")</f>
        <v>0.995</v>
      </c>
      <c r="AI21" s="9"/>
      <c r="AJ21" s="9"/>
      <c r="AK21" s="245"/>
      <c r="AL21" s="245"/>
      <c r="AM21" s="245"/>
      <c r="AN21" s="219"/>
      <c r="AO21" s="222"/>
      <c r="AP21" s="222"/>
      <c r="AQ21" s="222"/>
      <c r="AR21" s="223">
        <f>_xlfn.XLOOKUP(D21,'Modelling New'!$D:$D,'Modelling New'!$N:$N)</f>
        <v>130</v>
      </c>
      <c r="AS21" s="223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18">
        <f>Table13[[#This Row],[Date]]-DAY(Table13[[#This Row],[Date]])+1</f>
        <v>45748</v>
      </c>
      <c r="E22" s="9">
        <f t="shared" si="0"/>
        <v>30</v>
      </c>
      <c r="F22" s="188">
        <f>IFERROR(_xlfn.XLOOKUP($A22,Input_Raw!$A:$A,Input_Raw!$FC:$FC),"")</f>
        <v>11.950000000000001</v>
      </c>
      <c r="G22" s="189">
        <f>IFERROR(_xlfn.XLOOKUP($A22,Input_Raw!$A:$A,Input_Raw!$CY:$CY),"")</f>
        <v>6.26</v>
      </c>
      <c r="H22" s="189">
        <f>IFERROR(_xlfn.XLOOKUP($A22,Input_Raw!$A:$A,Input_Raw!$DA:$DA),"")</f>
        <v>1.248</v>
      </c>
      <c r="I22" s="189">
        <f>IFERROR(_xlfn.XLOOKUP($A22,Input_Raw!$A:$A,Input_Raw!$CX:$CX),"")</f>
        <v>6.3220000000000001</v>
      </c>
      <c r="J22" s="189">
        <f>IFERROR(_xlfn.XLOOKUP($A22,Input_Raw!$A:$A,Input_Raw!$CZ:$CZ),"")</f>
        <v>0.77400000000000002</v>
      </c>
      <c r="K22" s="190">
        <f>IFERROR(_xlfn.XLOOKUP($A22,Input_Raw!$A:$A,Input_Raw!$DB:$DB),"")</f>
        <v>34.081000000000003</v>
      </c>
      <c r="L22" s="190">
        <f>IFERROR(_xlfn.XLOOKUP($A22,Input_Raw!$A:$A,Input_Raw!$DC:$DC),"")</f>
        <v>45.521000000000001</v>
      </c>
      <c r="M22" s="189">
        <f>IFERROR(_xlfn.XLOOKUP($A22,Input_Raw!$A:$A,Input_Raw!$DF:$DF),"")</f>
        <v>1.167</v>
      </c>
      <c r="N22" s="189">
        <f>IFERROR(_xlfn.XLOOKUP($A22,Input_Raw!$A:$A,Input_Raw!$DG:$DG),"")</f>
        <v>3.117</v>
      </c>
      <c r="O22" s="219">
        <f>IFERROR(1-(SUMIF(Plant_BD!$B:$B,$A22,Plant_BD!$AL:$AL)/($AA22+SUMIF(Plant_BD!$B:$B,$A22,Plant_BD!$AL:$AL))),"")</f>
        <v>1</v>
      </c>
      <c r="P22" s="219"/>
      <c r="Q22" s="220">
        <f>IFERROR(1-(SUMIF(Grid_BD!$B:$B,$A22,Grid_BD!$V:$V)/($AA22+SUMIF(Grid_BD!$B:$B,$A22,Grid_BD!$V:$V))),"")</f>
        <v>1</v>
      </c>
      <c r="R22" s="219">
        <f>IFERROR(1-(SUMIF(Grid_BD!$B:$B,$A22,Grid_BD!$V:$V)/($AA22+SUMIF(Grid_BD!$B:$B,$A22,Grid_BD!$V:$V))),"")</f>
        <v>1</v>
      </c>
      <c r="S22" s="9"/>
      <c r="T22" s="220"/>
      <c r="U22" s="221">
        <f t="shared" si="1"/>
        <v>0.78832195959685358</v>
      </c>
      <c r="V22" s="221">
        <f>IFERROR(_xlfn.XLOOKUP($A22,Input_Raw!$A:$A,Input_Raw!$FG:$FG),"")</f>
        <v>0</v>
      </c>
      <c r="W22" s="222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78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22">
        <f>IFERROR(_xlfn.XLOOKUP($D22,'Modelling New'!$D:$D,'Modelling New'!O:O),"")</f>
        <v>0.76452024028227472</v>
      </c>
      <c r="AF22" s="222">
        <f>IFERROR(_xlfn.XLOOKUP($D22,'Modelling New'!$D:$D,'Modelling New'!W:W),"")</f>
        <v>0.22744477148397671</v>
      </c>
      <c r="AG22" s="222">
        <f>IFERROR(_xlfn.XLOOKUP($D22,'Modelling New'!$D:$D,'Modelling New'!AE:AE),"")</f>
        <v>0.995</v>
      </c>
      <c r="AH22" s="222">
        <f>IFERROR(_xlfn.XLOOKUP($D22,'Modelling New'!$D:$D,'Modelling New'!AF:AF),"")</f>
        <v>0.995</v>
      </c>
      <c r="AI22" s="9"/>
      <c r="AJ22" s="9"/>
      <c r="AK22" s="245"/>
      <c r="AL22" s="245"/>
      <c r="AM22" s="245"/>
      <c r="AN22" s="219"/>
      <c r="AO22" s="222"/>
      <c r="AP22" s="222"/>
      <c r="AQ22" s="222"/>
      <c r="AR22" s="223">
        <f>_xlfn.XLOOKUP(D22,'Modelling New'!$D:$D,'Modelling New'!$N:$N)</f>
        <v>130</v>
      </c>
      <c r="AS22" s="223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18">
        <f>Table13[[#This Row],[Date]]-DAY(Table13[[#This Row],[Date]])+1</f>
        <v>45748</v>
      </c>
      <c r="E23" s="9">
        <f t="shared" si="0"/>
        <v>30</v>
      </c>
      <c r="F23" s="188">
        <f>IFERROR(_xlfn.XLOOKUP($A23,Input_Raw!$A:$A,Input_Raw!$FC:$FC),"")</f>
        <v>12.066666666666666</v>
      </c>
      <c r="G23" s="178">
        <f>IFERROR(_xlfn.XLOOKUP($A23,Input_Raw!$A:$A,Input_Raw!$CY:$CY),"")</f>
        <v>7.1534676333333289</v>
      </c>
      <c r="H23" s="178">
        <f>IFERROR(_xlfn.XLOOKUP($A23,Input_Raw!$A:$A,Input_Raw!$DA:$DA),"")</f>
        <v>1.4176835499999965</v>
      </c>
      <c r="I23" s="178">
        <f>IFERROR(_xlfn.XLOOKUP($A23,Input_Raw!$A:$A,Input_Raw!$CX:$CX),"")</f>
        <v>7.2034397833333221</v>
      </c>
      <c r="J23" s="178">
        <f>IFERROR(_xlfn.XLOOKUP($A23,Input_Raw!$A:$A,Input_Raw!$CZ:$CZ),"")</f>
        <v>0.94859071666666694</v>
      </c>
      <c r="K23" s="190">
        <f>IFERROR(_xlfn.XLOOKUP($A23,Input_Raw!$A:$A,Input_Raw!$DB:$DB),"")</f>
        <v>33.854152777777742</v>
      </c>
      <c r="L23" s="190">
        <f>IFERROR(_xlfn.XLOOKUP($A23,Input_Raw!$A:$A,Input_Raw!$DC:$DC),"")</f>
        <v>45.871319444444431</v>
      </c>
      <c r="M23" s="189">
        <f>IFERROR(_xlfn.XLOOKUP($A23,Input_Raw!$A:$A,Input_Raw!$DF:$DF),"")</f>
        <v>1.3137354166666648</v>
      </c>
      <c r="N23" s="189">
        <f>IFERROR(_xlfn.XLOOKUP($A23,Input_Raw!$A:$A,Input_Raw!$DG:$DG),"")</f>
        <v>3.1829999999999998</v>
      </c>
      <c r="O23" s="219">
        <f>IFERROR(1-(SUMIF(Plant_BD!$B:$B,$A23,Plant_BD!$AL:$AL)/($AA23+SUMIF(Plant_BD!$B:$B,$A23,Plant_BD!$AL:$AL))),"")</f>
        <v>1</v>
      </c>
      <c r="P23" s="219"/>
      <c r="Q23" s="220">
        <f>IFERROR(1-(SUMIF(Grid_BD!$B:$B,$A23,Grid_BD!$V:$V)/($AA23+SUMIF(Grid_BD!$B:$B,$A23,Grid_BD!$V:$V))),"")</f>
        <v>1</v>
      </c>
      <c r="R23" s="219">
        <f>IFERROR(1-(SUMIF(Grid_BD!$B:$B,$A23,Grid_BD!$V:$V)/($AA23+SUMIF(Grid_BD!$B:$B,$A23,Grid_BD!$V:$V))),"")</f>
        <v>1</v>
      </c>
      <c r="S23" s="9"/>
      <c r="T23" s="220"/>
      <c r="U23" s="221">
        <f t="shared" si="1"/>
        <v>0.80571031185883013</v>
      </c>
      <c r="V23" s="221">
        <f>IFERROR(_xlfn.XLOOKUP($A23,Input_Raw!$A:$A,Input_Raw!$FG:$FG),"")</f>
        <v>0</v>
      </c>
      <c r="W23" s="222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78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22">
        <f>IFERROR(_xlfn.XLOOKUP($D23,'Modelling New'!$D:$D,'Modelling New'!O:O),"")</f>
        <v>0.76452024028227472</v>
      </c>
      <c r="AF23" s="222">
        <f>IFERROR(_xlfn.XLOOKUP($D23,'Modelling New'!$D:$D,'Modelling New'!W:W),"")</f>
        <v>0.22744477148397671</v>
      </c>
      <c r="AG23" s="222">
        <f>IFERROR(_xlfn.XLOOKUP($D23,'Modelling New'!$D:$D,'Modelling New'!AE:AE),"")</f>
        <v>0.995</v>
      </c>
      <c r="AH23" s="222">
        <f>IFERROR(_xlfn.XLOOKUP($D23,'Modelling New'!$D:$D,'Modelling New'!AF:AF),"")</f>
        <v>0.995</v>
      </c>
      <c r="AI23" s="9"/>
      <c r="AJ23" s="9"/>
      <c r="AK23" s="245"/>
      <c r="AL23" s="245"/>
      <c r="AM23" s="245"/>
      <c r="AN23" s="219"/>
      <c r="AO23" s="222"/>
      <c r="AP23" s="222"/>
      <c r="AQ23" s="222"/>
      <c r="AR23" s="223">
        <f>_xlfn.XLOOKUP(D23,'Modelling New'!$D:$D,'Modelling New'!$N:$N)</f>
        <v>130</v>
      </c>
      <c r="AS23" s="223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18">
        <f>Table13[[#This Row],[Date]]-DAY(Table13[[#This Row],[Date]])+1</f>
        <v>45748</v>
      </c>
      <c r="E24" s="9">
        <f t="shared" si="0"/>
        <v>30</v>
      </c>
      <c r="F24" s="188">
        <f>IFERROR(_xlfn.XLOOKUP($A24,Input_Raw!$A:$A,Input_Raw!$FC:$FC),"")</f>
        <v>12.083333333333336</v>
      </c>
      <c r="G24" s="189">
        <f>IFERROR(_xlfn.XLOOKUP($A24,Input_Raw!$A:$A,Input_Raw!$CY:$CY),"")</f>
        <v>7.3981508166666661</v>
      </c>
      <c r="H24" s="189">
        <f>IFERROR(_xlfn.XLOOKUP($A24,Input_Raw!$A:$A,Input_Raw!$DA:$DA),"")</f>
        <v>1.4598083333333318</v>
      </c>
      <c r="I24" s="189">
        <f>IFERROR(_xlfn.XLOOKUP($A24,Input_Raw!$A:$A,Input_Raw!$CX:$CX),"")</f>
        <v>7.4408317166666675</v>
      </c>
      <c r="J24" s="189">
        <f>IFERROR(_xlfn.XLOOKUP($A24,Input_Raw!$A:$A,Input_Raw!$CZ:$CZ),"")</f>
        <v>0.96290266666666546</v>
      </c>
      <c r="K24" s="190">
        <f>IFERROR(_xlfn.XLOOKUP($A24,Input_Raw!$A:$A,Input_Raw!$DB:$DB),"")</f>
        <v>32.920486061472424</v>
      </c>
      <c r="L24" s="190">
        <f>IFERROR(_xlfn.XLOOKUP($A24,Input_Raw!$A:$A,Input_Raw!$DC:$DC),"")</f>
        <v>44.980195139385259</v>
      </c>
      <c r="M24" s="189">
        <f>IFERROR(_xlfn.XLOOKUP($A24,Input_Raw!$A:$A,Input_Raw!$DF:$DF),"")</f>
        <v>1.3652423159399565</v>
      </c>
      <c r="N24" s="189">
        <f>IFERROR(_xlfn.XLOOKUP($A24,Input_Raw!$A:$A,Input_Raw!$DG:$DG),"")</f>
        <v>2.9910000000000001</v>
      </c>
      <c r="O24" s="219">
        <f>IFERROR(1-(SUMIF(Plant_BD!$B:$B,$A24,Plant_BD!$AL:$AL)/($AA24+SUMIF(Plant_BD!$B:$B,$A24,Plant_BD!$AL:$AL))),"")</f>
        <v>1</v>
      </c>
      <c r="P24" s="219"/>
      <c r="Q24" s="220">
        <f>IFERROR(1-(SUMIF(Grid_BD!$B:$B,$A24,Grid_BD!$V:$V)/($AA24+SUMIF(Grid_BD!$B:$B,$A24,Grid_BD!$V:$V))),"")</f>
        <v>1</v>
      </c>
      <c r="R24" s="219">
        <f>IFERROR(1-(SUMIF(Grid_BD!$B:$B,$A24,Grid_BD!$V:$V)/($AA24+SUMIF(Grid_BD!$B:$B,$A24,Grid_BD!$V:$V))),"")</f>
        <v>1</v>
      </c>
      <c r="S24" s="9"/>
      <c r="T24" s="220"/>
      <c r="U24" s="221">
        <f t="shared" si="1"/>
        <v>0.80802027059365578</v>
      </c>
      <c r="V24" s="221">
        <f>IFERROR(_xlfn.XLOOKUP($A24,Input_Raw!$A:$A,Input_Raw!$FG:$FG),"")</f>
        <v>0</v>
      </c>
      <c r="W24" s="222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78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22">
        <f>IFERROR(_xlfn.XLOOKUP($D24,'Modelling New'!$D:$D,'Modelling New'!O:O),"")</f>
        <v>0.76452024028227472</v>
      </c>
      <c r="AF24" s="222">
        <f>IFERROR(_xlfn.XLOOKUP($D24,'Modelling New'!$D:$D,'Modelling New'!W:W),"")</f>
        <v>0.22744477148397671</v>
      </c>
      <c r="AG24" s="222">
        <f>IFERROR(_xlfn.XLOOKUP($D24,'Modelling New'!$D:$D,'Modelling New'!AE:AE),"")</f>
        <v>0.995</v>
      </c>
      <c r="AH24" s="222">
        <f>IFERROR(_xlfn.XLOOKUP($D24,'Modelling New'!$D:$D,'Modelling New'!AF:AF),"")</f>
        <v>0.995</v>
      </c>
      <c r="AI24" s="9"/>
      <c r="AJ24" s="9"/>
      <c r="AK24" s="245"/>
      <c r="AL24" s="245"/>
      <c r="AM24" s="245"/>
      <c r="AN24" s="219"/>
      <c r="AO24" s="222"/>
      <c r="AP24" s="222"/>
      <c r="AQ24" s="222"/>
      <c r="AR24" s="223">
        <f>_xlfn.XLOOKUP(D24,'Modelling New'!$D:$D,'Modelling New'!$N:$N)</f>
        <v>130</v>
      </c>
      <c r="AS24" s="223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18">
        <f>Table13[[#This Row],[Date]]-DAY(Table13[[#This Row],[Date]])+1</f>
        <v>45748</v>
      </c>
      <c r="E25" s="9">
        <f t="shared" si="0"/>
        <v>30</v>
      </c>
      <c r="F25" s="188">
        <f>IFERROR(_xlfn.XLOOKUP($A25,Input_Raw!$A:$A,Input_Raw!$FC:$FC),"")</f>
        <v>12.116666666666669</v>
      </c>
      <c r="G25" s="178">
        <f>IFERROR(_xlfn.XLOOKUP($A25,Input_Raw!$A:$A,Input_Raw!$CY:$CY),"")</f>
        <v>7.0362274333333339</v>
      </c>
      <c r="H25" s="178">
        <f>IFERROR(_xlfn.XLOOKUP($A25,Input_Raw!$A:$A,Input_Raw!$DA:$DA),"")</f>
        <v>1.3952645166666668</v>
      </c>
      <c r="I25" s="178">
        <f>IFERROR(_xlfn.XLOOKUP($A25,Input_Raw!$A:$A,Input_Raw!$CX:$CX),"")</f>
        <v>7.0776942666666569</v>
      </c>
      <c r="J25" s="178">
        <f>IFERROR(_xlfn.XLOOKUP($A25,Input_Raw!$A:$A,Input_Raw!$CZ:$CZ),"")</f>
        <v>0.94385484999999969</v>
      </c>
      <c r="K25" s="190">
        <f>IFERROR(_xlfn.XLOOKUP($A25,Input_Raw!$A:$A,Input_Raw!$DB:$DB),"")</f>
        <v>32.514258351893069</v>
      </c>
      <c r="L25" s="190">
        <f>IFERROR(_xlfn.XLOOKUP($A25,Input_Raw!$A:$A,Input_Raw!$DC:$DC),"")</f>
        <v>44.512149962880457</v>
      </c>
      <c r="M25" s="189">
        <f>IFERROR(_xlfn.XLOOKUP($A25,Input_Raw!$A:$A,Input_Raw!$DF:$DF),"")</f>
        <v>1.0995263548626577</v>
      </c>
      <c r="N25" s="189">
        <f>IFERROR(_xlfn.XLOOKUP($A25,Input_Raw!$A:$A,Input_Raw!$DG:$DG),"")</f>
        <v>2.4569999999999999</v>
      </c>
      <c r="O25" s="219">
        <f>IFERROR(1-(SUMIF(Plant_BD!$B:$B,$A25,Plant_BD!$AL:$AL)/($AA25+SUMIF(Plant_BD!$B:$B,$A25,Plant_BD!$AL:$AL))),"")</f>
        <v>1</v>
      </c>
      <c r="P25" s="219"/>
      <c r="Q25" s="220">
        <f>IFERROR(1-(SUMIF(Grid_BD!$B:$B,$A25,Grid_BD!$V:$V)/($AA25+SUMIF(Grid_BD!$B:$B,$A25,Grid_BD!$V:$V))),"")</f>
        <v>1</v>
      </c>
      <c r="R25" s="219">
        <f>IFERROR(1-(SUMIF(Grid_BD!$B:$B,$A25,Grid_BD!$V:$V)/($AA25+SUMIF(Grid_BD!$B:$B,$A25,Grid_BD!$V:$V))),"")</f>
        <v>1</v>
      </c>
      <c r="S25" s="9"/>
      <c r="T25" s="220"/>
      <c r="U25" s="221">
        <f t="shared" si="1"/>
        <v>0.84056430225815804</v>
      </c>
      <c r="V25" s="221">
        <f>IFERROR(_xlfn.XLOOKUP($A25,Input_Raw!$A:$A,Input_Raw!$FG:$FG),"")</f>
        <v>0</v>
      </c>
      <c r="W25" s="222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78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22">
        <f>IFERROR(_xlfn.XLOOKUP($D25,'Modelling New'!$D:$D,'Modelling New'!O:O),"")</f>
        <v>0.76452024028227472</v>
      </c>
      <c r="AF25" s="222">
        <f>IFERROR(_xlfn.XLOOKUP($D25,'Modelling New'!$D:$D,'Modelling New'!W:W),"")</f>
        <v>0.22744477148397671</v>
      </c>
      <c r="AG25" s="222">
        <f>IFERROR(_xlfn.XLOOKUP($D25,'Modelling New'!$D:$D,'Modelling New'!AE:AE),"")</f>
        <v>0.995</v>
      </c>
      <c r="AH25" s="222">
        <f>IFERROR(_xlfn.XLOOKUP($D25,'Modelling New'!$D:$D,'Modelling New'!AF:AF),"")</f>
        <v>0.995</v>
      </c>
      <c r="AI25" s="9"/>
      <c r="AJ25" s="9"/>
      <c r="AK25" s="245"/>
      <c r="AL25" s="245"/>
      <c r="AM25" s="245"/>
      <c r="AN25" s="219"/>
      <c r="AO25" s="222"/>
      <c r="AP25" s="222"/>
      <c r="AQ25" s="222"/>
      <c r="AR25" s="223">
        <f>_xlfn.XLOOKUP(D25,'Modelling New'!$D:$D,'Modelling New'!$N:$N)</f>
        <v>130</v>
      </c>
      <c r="AS25" s="223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18">
        <f>Table13[[#This Row],[Date]]-DAY(Table13[[#This Row],[Date]])+1</f>
        <v>45748</v>
      </c>
      <c r="E26" s="9">
        <f t="shared" si="0"/>
        <v>30</v>
      </c>
      <c r="F26" s="188">
        <f>IFERROR(_xlfn.XLOOKUP($A26,Input_Raw!$A:$A,Input_Raw!$FC:$FC),"")</f>
        <v>12.133333333333333</v>
      </c>
      <c r="G26" s="189">
        <f>IFERROR(_xlfn.XLOOKUP($A26,Input_Raw!$A:$A,Input_Raw!$CY:$CY),"")</f>
        <v>7.2761967333333297</v>
      </c>
      <c r="H26" s="189">
        <f>IFERROR(_xlfn.XLOOKUP($A26,Input_Raw!$A:$A,Input_Raw!$DA:$DA),"")</f>
        <v>1.4461927166666662</v>
      </c>
      <c r="I26" s="189">
        <f>IFERROR(_xlfn.XLOOKUP($A26,Input_Raw!$A:$A,Input_Raw!$CX:$CX),"")</f>
        <v>7.3124169833333426</v>
      </c>
      <c r="J26" s="189">
        <f>IFERROR(_xlfn.XLOOKUP($A26,Input_Raw!$A:$A,Input_Raw!$CZ:$CZ),"")</f>
        <v>0.97527401666666591</v>
      </c>
      <c r="K26" s="190">
        <f>IFERROR(_xlfn.XLOOKUP($A26,Input_Raw!$A:$A,Input_Raw!$DB:$DB),"")</f>
        <v>33.894411326378489</v>
      </c>
      <c r="L26" s="190">
        <f>IFERROR(_xlfn.XLOOKUP($A26,Input_Raw!$A:$A,Input_Raw!$DC:$DC),"")</f>
        <v>46.28647540983598</v>
      </c>
      <c r="M26" s="189">
        <f>IFERROR(_xlfn.XLOOKUP($A26,Input_Raw!$A:$A,Input_Raw!$DF:$DF),"")</f>
        <v>0.98780923994038716</v>
      </c>
      <c r="N26" s="189">
        <f>IFERROR(_xlfn.XLOOKUP($A26,Input_Raw!$A:$A,Input_Raw!$DG:$DG),"")</f>
        <v>2.2650000000000001</v>
      </c>
      <c r="O26" s="219">
        <f>IFERROR(1-(SUMIF(Plant_BD!$B:$B,$A26,Plant_BD!$AL:$AL)/($AA26+SUMIF(Plant_BD!$B:$B,$A26,Plant_BD!$AL:$AL))),"")</f>
        <v>0.97897018738209585</v>
      </c>
      <c r="P26" s="219"/>
      <c r="Q26" s="220">
        <f>IFERROR(1-(SUMIF(Grid_BD!$B:$B,$A26,Grid_BD!$V:$V)/($AA26+SUMIF(Grid_BD!$B:$B,$A26,Grid_BD!$V:$V))),"")</f>
        <v>1</v>
      </c>
      <c r="R26" s="219">
        <f>IFERROR(1-(SUMIF(Grid_BD!$B:$B,$A26,Grid_BD!$V:$V)/($AA26+SUMIF(Grid_BD!$B:$B,$A26,Grid_BD!$V:$V))),"")</f>
        <v>1</v>
      </c>
      <c r="S26" s="9"/>
      <c r="T26" s="220"/>
      <c r="U26" s="221">
        <f t="shared" si="1"/>
        <v>0.80392414502990461</v>
      </c>
      <c r="V26" s="221">
        <f>IFERROR(_xlfn.XLOOKUP($A26,Input_Raw!$A:$A,Input_Raw!$FG:$FG),"")</f>
        <v>0</v>
      </c>
      <c r="W26" s="222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78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22">
        <f>IFERROR(_xlfn.XLOOKUP($D26,'Modelling New'!$D:$D,'Modelling New'!O:O),"")</f>
        <v>0.76452024028227472</v>
      </c>
      <c r="AF26" s="222">
        <f>IFERROR(_xlfn.XLOOKUP($D26,'Modelling New'!$D:$D,'Modelling New'!W:W),"")</f>
        <v>0.22744477148397671</v>
      </c>
      <c r="AG26" s="222">
        <f>IFERROR(_xlfn.XLOOKUP($D26,'Modelling New'!$D:$D,'Modelling New'!AE:AE),"")</f>
        <v>0.995</v>
      </c>
      <c r="AH26" s="222">
        <f>IFERROR(_xlfn.XLOOKUP($D26,'Modelling New'!$D:$D,'Modelling New'!AF:AF),"")</f>
        <v>0.995</v>
      </c>
      <c r="AI26" s="9"/>
      <c r="AJ26" s="9"/>
      <c r="AK26" s="245"/>
      <c r="AL26" s="245"/>
      <c r="AM26" s="245"/>
      <c r="AN26" s="219"/>
      <c r="AO26" s="222"/>
      <c r="AP26" s="222"/>
      <c r="AQ26" s="222"/>
      <c r="AR26" s="223">
        <f>_xlfn.XLOOKUP(D26,'Modelling New'!$D:$D,'Modelling New'!$N:$N)</f>
        <v>130</v>
      </c>
      <c r="AS26" s="223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18">
        <f>Table13[[#This Row],[Date]]-DAY(Table13[[#This Row],[Date]])+1</f>
        <v>45748</v>
      </c>
      <c r="E27" s="9">
        <f t="shared" si="0"/>
        <v>30</v>
      </c>
      <c r="F27" s="188">
        <f>IFERROR(_xlfn.XLOOKUP($A27,Input_Raw!$A:$A,Input_Raw!$FC:$FC),"")</f>
        <v>12.1</v>
      </c>
      <c r="G27" s="178">
        <f>IFERROR(_xlfn.XLOOKUP($A27,Input_Raw!$A:$A,Input_Raw!$CY:$CY),"")</f>
        <v>7.2514088000000019</v>
      </c>
      <c r="H27" s="178">
        <f>IFERROR(_xlfn.XLOOKUP($A27,Input_Raw!$A:$A,Input_Raw!$DA:$DA),"")</f>
        <v>1.4546560666666659</v>
      </c>
      <c r="I27" s="178">
        <f>IFERROR(_xlfn.XLOOKUP($A27,Input_Raw!$A:$A,Input_Raw!$CX:$CX),"")</f>
        <v>7.267512199999997</v>
      </c>
      <c r="J27" s="178">
        <f>IFERROR(_xlfn.XLOOKUP($A27,Input_Raw!$A:$A,Input_Raw!$CZ:$CZ),"")</f>
        <v>0.98194756666666594</v>
      </c>
      <c r="K27" s="190">
        <f>IFERROR(_xlfn.XLOOKUP($A27,Input_Raw!$A:$A,Input_Raw!$DB:$DB),"")</f>
        <v>34.564774247491734</v>
      </c>
      <c r="L27" s="190">
        <f>IFERROR(_xlfn.XLOOKUP($A27,Input_Raw!$A:$A,Input_Raw!$DC:$DC),"")</f>
        <v>47.986234949832735</v>
      </c>
      <c r="M27" s="189">
        <f>IFERROR(_xlfn.XLOOKUP($A27,Input_Raw!$A:$A,Input_Raw!$DF:$DF),"")</f>
        <v>0.99358193979933207</v>
      </c>
      <c r="N27" s="189">
        <f>IFERROR(_xlfn.XLOOKUP($A27,Input_Raw!$A:$A,Input_Raw!$DG:$DG),"")</f>
        <v>2.6459999999999999</v>
      </c>
      <c r="O27" s="219">
        <f>IFERROR(1-(SUMIF(Plant_BD!$B:$B,$A27,Plant_BD!$AL:$AL)/($AA27+SUMIF(Plant_BD!$B:$B,$A27,Plant_BD!$AL:$AL))),"")</f>
        <v>1</v>
      </c>
      <c r="P27" s="219"/>
      <c r="Q27" s="220">
        <f>IFERROR(1-(SUMIF(Grid_BD!$B:$B,$A27,Grid_BD!$V:$V)/($AA27+SUMIF(Grid_BD!$B:$B,$A27,Grid_BD!$V:$V))),"")</f>
        <v>1</v>
      </c>
      <c r="R27" s="219">
        <f>IFERROR(1-(SUMIF(Grid_BD!$B:$B,$A27,Grid_BD!$V:$V)/($AA27+SUMIF(Grid_BD!$B:$B,$A27,Grid_BD!$V:$V))),"")</f>
        <v>1</v>
      </c>
      <c r="S27" s="9"/>
      <c r="T27" s="220"/>
      <c r="U27" s="221">
        <f t="shared" si="1"/>
        <v>0.80832534215963558</v>
      </c>
      <c r="V27" s="221">
        <f>IFERROR(_xlfn.XLOOKUP($A27,Input_Raw!$A:$A,Input_Raw!$FG:$FG),"")</f>
        <v>0</v>
      </c>
      <c r="W27" s="222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78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22">
        <f>IFERROR(_xlfn.XLOOKUP($D27,'Modelling New'!$D:$D,'Modelling New'!O:O),"")</f>
        <v>0.76452024028227472</v>
      </c>
      <c r="AF27" s="222">
        <f>IFERROR(_xlfn.XLOOKUP($D27,'Modelling New'!$D:$D,'Modelling New'!W:W),"")</f>
        <v>0.22744477148397671</v>
      </c>
      <c r="AG27" s="222">
        <f>IFERROR(_xlfn.XLOOKUP($D27,'Modelling New'!$D:$D,'Modelling New'!AE:AE),"")</f>
        <v>0.995</v>
      </c>
      <c r="AH27" s="222">
        <f>IFERROR(_xlfn.XLOOKUP($D27,'Modelling New'!$D:$D,'Modelling New'!AF:AF),"")</f>
        <v>0.995</v>
      </c>
      <c r="AI27" s="9"/>
      <c r="AJ27" s="9"/>
      <c r="AK27" s="245"/>
      <c r="AL27" s="245"/>
      <c r="AM27" s="245"/>
      <c r="AN27" s="219"/>
      <c r="AO27" s="222"/>
      <c r="AP27" s="222"/>
      <c r="AQ27" s="222"/>
      <c r="AR27" s="223">
        <f>_xlfn.XLOOKUP(D27,'Modelling New'!$D:$D,'Modelling New'!$N:$N)</f>
        <v>130</v>
      </c>
      <c r="AS27" s="223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18">
        <f>Table13[[#This Row],[Date]]-DAY(Table13[[#This Row],[Date]])+1</f>
        <v>45748</v>
      </c>
      <c r="E28" s="9">
        <f t="shared" si="0"/>
        <v>30</v>
      </c>
      <c r="F28" s="188">
        <f>IFERROR(_xlfn.XLOOKUP($A28,Input_Raw!$A:$A,Input_Raw!$FC:$FC),"")</f>
        <v>12.183333333333335</v>
      </c>
      <c r="G28" s="189">
        <f>IFERROR(_xlfn.XLOOKUP($A28,Input_Raw!$A:$A,Input_Raw!$CY:$CY),"")</f>
        <v>6.942666066666666</v>
      </c>
      <c r="H28" s="189">
        <f>IFERROR(_xlfn.XLOOKUP($A28,Input_Raw!$A:$A,Input_Raw!$DA:$DA),"")</f>
        <v>1.3974052499999994</v>
      </c>
      <c r="I28" s="189">
        <f>IFERROR(_xlfn.XLOOKUP($A28,Input_Raw!$A:$A,Input_Raw!$CX:$CX),"")</f>
        <v>6.9662361500000021</v>
      </c>
      <c r="J28" s="189">
        <f>IFERROR(_xlfn.XLOOKUP($A28,Input_Raw!$A:$A,Input_Raw!$CZ:$CZ),"")</f>
        <v>0.96716798333333232</v>
      </c>
      <c r="K28" s="190">
        <f>IFERROR(_xlfn.XLOOKUP($A28,Input_Raw!$A:$A,Input_Raw!$DB:$DB),"")</f>
        <v>34.53467400508044</v>
      </c>
      <c r="L28" s="190">
        <f>IFERROR(_xlfn.XLOOKUP($A28,Input_Raw!$A:$A,Input_Raw!$DC:$DC),"")</f>
        <v>47.438395427603695</v>
      </c>
      <c r="M28" s="189">
        <f>IFERROR(_xlfn.XLOOKUP($A28,Input_Raw!$A:$A,Input_Raw!$DF:$DF),"")</f>
        <v>1.098401354784083</v>
      </c>
      <c r="N28" s="189">
        <f>IFERROR(_xlfn.XLOOKUP($A28,Input_Raw!$A:$A,Input_Raw!$DG:$DG),"")</f>
        <v>2.4390000000000001</v>
      </c>
      <c r="O28" s="219">
        <f>IFERROR(1-(SUMIF(Plant_BD!$B:$B,$A28,Plant_BD!$AL:$AL)/($AA28+SUMIF(Plant_BD!$B:$B,$A28,Plant_BD!$AL:$AL))),"")</f>
        <v>1</v>
      </c>
      <c r="P28" s="219"/>
      <c r="Q28" s="220">
        <f>IFERROR(1-(SUMIF(Grid_BD!$B:$B,$A28,Grid_BD!$V:$V)/($AA28+SUMIF(Grid_BD!$B:$B,$A28,Grid_BD!$V:$V))),"")</f>
        <v>1</v>
      </c>
      <c r="R28" s="219">
        <f>IFERROR(1-(SUMIF(Grid_BD!$B:$B,$A28,Grid_BD!$V:$V)/($AA28+SUMIF(Grid_BD!$B:$B,$A28,Grid_BD!$V:$V))),"")</f>
        <v>1</v>
      </c>
      <c r="S28" s="9"/>
      <c r="T28" s="220"/>
      <c r="U28" s="221">
        <f t="shared" si="1"/>
        <v>0.80833976813802833</v>
      </c>
      <c r="V28" s="221">
        <f>IFERROR(_xlfn.XLOOKUP($A28,Input_Raw!$A:$A,Input_Raw!$FG:$FG),"")</f>
        <v>0</v>
      </c>
      <c r="W28" s="222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78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22">
        <f>IFERROR(_xlfn.XLOOKUP($D28,'Modelling New'!$D:$D,'Modelling New'!O:O),"")</f>
        <v>0.76452024028227472</v>
      </c>
      <c r="AF28" s="222">
        <f>IFERROR(_xlfn.XLOOKUP($D28,'Modelling New'!$D:$D,'Modelling New'!W:W),"")</f>
        <v>0.22744477148397671</v>
      </c>
      <c r="AG28" s="222">
        <f>IFERROR(_xlfn.XLOOKUP($D28,'Modelling New'!$D:$D,'Modelling New'!AE:AE),"")</f>
        <v>0.995</v>
      </c>
      <c r="AH28" s="222">
        <f>IFERROR(_xlfn.XLOOKUP($D28,'Modelling New'!$D:$D,'Modelling New'!AF:AF),"")</f>
        <v>0.995</v>
      </c>
      <c r="AI28" s="9"/>
      <c r="AJ28" s="9"/>
      <c r="AK28" s="245"/>
      <c r="AL28" s="245"/>
      <c r="AM28" s="245"/>
      <c r="AN28" s="219"/>
      <c r="AO28" s="222"/>
      <c r="AP28" s="222"/>
      <c r="AQ28" s="222"/>
      <c r="AR28" s="223">
        <f>_xlfn.XLOOKUP(D28,'Modelling New'!$D:$D,'Modelling New'!$N:$N)</f>
        <v>130</v>
      </c>
      <c r="AS28" s="223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18">
        <f>Table13[[#This Row],[Date]]-DAY(Table13[[#This Row],[Date]])+1</f>
        <v>45748</v>
      </c>
      <c r="E29" s="9">
        <f t="shared" si="0"/>
        <v>30</v>
      </c>
      <c r="F29" s="188">
        <f>IFERROR(_xlfn.XLOOKUP($A29,Input_Raw!$A:$A,Input_Raw!$FC:$FC),"")</f>
        <v>12.083333333333336</v>
      </c>
      <c r="G29" s="178">
        <f>IFERROR(_xlfn.XLOOKUP($A29,Input_Raw!$A:$A,Input_Raw!$CY:$CY),"")</f>
        <v>7.0078852000000111</v>
      </c>
      <c r="H29" s="178">
        <f>IFERROR(_xlfn.XLOOKUP($A29,Input_Raw!$A:$A,Input_Raw!$DA:$DA),"")</f>
        <v>1.4078384000000006</v>
      </c>
      <c r="I29" s="178">
        <f>IFERROR(_xlfn.XLOOKUP($A29,Input_Raw!$A:$A,Input_Raw!$CX:$CX),"")</f>
        <v>7.0080912333333325</v>
      </c>
      <c r="J29" s="178">
        <f>IFERROR(_xlfn.XLOOKUP($A29,Input_Raw!$A:$A,Input_Raw!$CZ:$CZ),"")</f>
        <v>0.95771016666666597</v>
      </c>
      <c r="K29" s="190">
        <f>IFERROR(_xlfn.XLOOKUP($A29,Input_Raw!$A:$A,Input_Raw!$DB:$DB),"")</f>
        <v>34.729205350118043</v>
      </c>
      <c r="L29" s="190">
        <f>IFERROR(_xlfn.XLOOKUP($A29,Input_Raw!$A:$A,Input_Raw!$DC:$DC),"")</f>
        <v>48.10381904012587</v>
      </c>
      <c r="M29" s="189">
        <f>IFERROR(_xlfn.XLOOKUP($A29,Input_Raw!$A:$A,Input_Raw!$DF:$DF),"")</f>
        <v>1.0152368214004723</v>
      </c>
      <c r="N29" s="189">
        <f>IFERROR(_xlfn.XLOOKUP($A29,Input_Raw!$A:$A,Input_Raw!$DG:$DG),"")</f>
        <v>2.0910000000000002</v>
      </c>
      <c r="O29" s="219">
        <f>IFERROR(1-(SUMIF(Plant_BD!$B:$B,$A29,Plant_BD!$AL:$AL)/($AA29+SUMIF(Plant_BD!$B:$B,$A29,Plant_BD!$AL:$AL))),"")</f>
        <v>0.99418348599205986</v>
      </c>
      <c r="P29" s="219"/>
      <c r="Q29" s="220">
        <f>IFERROR(1-(SUMIF(Grid_BD!$B:$B,$A29,Grid_BD!$V:$V)/($AA29+SUMIF(Grid_BD!$B:$B,$A29,Grid_BD!$V:$V))),"")</f>
        <v>1</v>
      </c>
      <c r="R29" s="219">
        <f>IFERROR(1-(SUMIF(Grid_BD!$B:$B,$A29,Grid_BD!$V:$V)/($AA29+SUMIF(Grid_BD!$B:$B,$A29,Grid_BD!$V:$V))),"")</f>
        <v>1</v>
      </c>
      <c r="S29" s="9"/>
      <c r="T29" s="220"/>
      <c r="U29" s="221">
        <f t="shared" si="1"/>
        <v>0.81339449892287197</v>
      </c>
      <c r="V29" s="221" t="str">
        <f>IFERROR(_xlfn.XLOOKUP($A29,Input_Raw!$A:$A,Input_Raw!$FG:$FG),"")</f>
        <v/>
      </c>
      <c r="W29" s="222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78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22">
        <f>IFERROR(_xlfn.XLOOKUP($D29,'Modelling New'!$D:$D,'Modelling New'!O:O),"")</f>
        <v>0.76452024028227472</v>
      </c>
      <c r="AF29" s="222">
        <f>IFERROR(_xlfn.XLOOKUP($D29,'Modelling New'!$D:$D,'Modelling New'!W:W),"")</f>
        <v>0.22744477148397671</v>
      </c>
      <c r="AG29" s="222">
        <f>IFERROR(_xlfn.XLOOKUP($D29,'Modelling New'!$D:$D,'Modelling New'!AE:AE),"")</f>
        <v>0.995</v>
      </c>
      <c r="AH29" s="222">
        <f>IFERROR(_xlfn.XLOOKUP($D29,'Modelling New'!$D:$D,'Modelling New'!AF:AF),"")</f>
        <v>0.995</v>
      </c>
      <c r="AI29" s="9"/>
      <c r="AJ29" s="9"/>
      <c r="AK29" s="245"/>
      <c r="AL29" s="245"/>
      <c r="AM29" s="245"/>
      <c r="AN29" s="219"/>
      <c r="AO29" s="222"/>
      <c r="AP29" s="222"/>
      <c r="AQ29" s="222"/>
      <c r="AR29" s="223">
        <f>_xlfn.XLOOKUP(D29,'Modelling New'!$D:$D,'Modelling New'!$N:$N)</f>
        <v>130</v>
      </c>
      <c r="AS29" s="223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18">
        <f>Table13[[#This Row],[Date]]-DAY(Table13[[#This Row],[Date]])+1</f>
        <v>45748</v>
      </c>
      <c r="E30" s="9">
        <f t="shared" si="0"/>
        <v>30</v>
      </c>
      <c r="F30" s="188">
        <f>IFERROR(_xlfn.XLOOKUP($A30,Input_Raw!$A:$A,Input_Raw!$FC:$FC),"")</f>
        <v>12.216666666666669</v>
      </c>
      <c r="G30" s="189">
        <f>IFERROR(_xlfn.XLOOKUP($A30,Input_Raw!$A:$A,Input_Raw!$CY:$CY),"")</f>
        <v>4.940709433333331</v>
      </c>
      <c r="H30" s="189">
        <f>IFERROR(_xlfn.XLOOKUP($A30,Input_Raw!$A:$A,Input_Raw!$DA:$DA),"")</f>
        <v>0.98833121666666535</v>
      </c>
      <c r="I30" s="189">
        <f>IFERROR(_xlfn.XLOOKUP($A30,Input_Raw!$A:$A,Input_Raw!$CX:$CX),"")</f>
        <v>4.9439592833333368</v>
      </c>
      <c r="J30" s="189">
        <f>IFERROR(_xlfn.XLOOKUP($A30,Input_Raw!$A:$A,Input_Raw!$CZ:$CZ),"")</f>
        <v>0.74732183333333502</v>
      </c>
      <c r="K30" s="190">
        <f>IFERROR(_xlfn.XLOOKUP($A30,Input_Raw!$A:$A,Input_Raw!$DB:$DB),"")</f>
        <v>33.198866559485467</v>
      </c>
      <c r="L30" s="190">
        <f>IFERROR(_xlfn.XLOOKUP($A30,Input_Raw!$A:$A,Input_Raw!$DC:$DC),"")</f>
        <v>43.480128617363356</v>
      </c>
      <c r="M30" s="189">
        <f>IFERROR(_xlfn.XLOOKUP($A30,Input_Raw!$A:$A,Input_Raw!$DF:$DF),"")</f>
        <v>1.1836085209003226</v>
      </c>
      <c r="N30" s="189">
        <f>IFERROR(_xlfn.XLOOKUP($A30,Input_Raw!$A:$A,Input_Raw!$DG:$DG),"")</f>
        <v>3.0449999999999999</v>
      </c>
      <c r="O30" s="219">
        <f>IFERROR(1-(SUMIF(Plant_BD!$B:$B,$A30,Plant_BD!$AL:$AL)/($AA30+SUMIF(Plant_BD!$B:$B,$A30,Plant_BD!$AL:$AL))),"")</f>
        <v>1</v>
      </c>
      <c r="P30" s="219"/>
      <c r="Q30" s="220">
        <f>IFERROR(1-(SUMIF(Grid_BD!$B:$B,$A30,Grid_BD!$V:$V)/($AA30+SUMIF(Grid_BD!$B:$B,$A30,Grid_BD!$V:$V))),"")</f>
        <v>1</v>
      </c>
      <c r="R30" s="219">
        <f>IFERROR(1-(SUMIF(Grid_BD!$B:$B,$A30,Grid_BD!$V:$V)/($AA30+SUMIF(Grid_BD!$B:$B,$A30,Grid_BD!$V:$V))),"")</f>
        <v>1</v>
      </c>
      <c r="S30" s="9"/>
      <c r="T30" s="220"/>
      <c r="U30" s="221">
        <f t="shared" si="1"/>
        <v>0.85090853337705041</v>
      </c>
      <c r="V30" s="221" t="str">
        <f>IFERROR(_xlfn.XLOOKUP($A30,Input_Raw!$A:$A,Input_Raw!$FG:$FG),"")</f>
        <v/>
      </c>
      <c r="W30" s="222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78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22">
        <f>IFERROR(_xlfn.XLOOKUP($D30,'Modelling New'!$D:$D,'Modelling New'!O:O),"")</f>
        <v>0.76452024028227472</v>
      </c>
      <c r="AF30" s="222">
        <f>IFERROR(_xlfn.XLOOKUP($D30,'Modelling New'!$D:$D,'Modelling New'!W:W),"")</f>
        <v>0.22744477148397671</v>
      </c>
      <c r="AG30" s="222">
        <f>IFERROR(_xlfn.XLOOKUP($D30,'Modelling New'!$D:$D,'Modelling New'!AE:AE),"")</f>
        <v>0.995</v>
      </c>
      <c r="AH30" s="222">
        <f>IFERROR(_xlfn.XLOOKUP($D30,'Modelling New'!$D:$D,'Modelling New'!AF:AF),"")</f>
        <v>0.995</v>
      </c>
      <c r="AI30" s="9"/>
      <c r="AJ30" s="9"/>
      <c r="AK30" s="245"/>
      <c r="AL30" s="245"/>
      <c r="AM30" s="245"/>
      <c r="AN30" s="219"/>
      <c r="AO30" s="222"/>
      <c r="AP30" s="222"/>
      <c r="AQ30" s="222"/>
      <c r="AR30" s="223">
        <f>_xlfn.XLOOKUP(D30,'Modelling New'!$D:$D,'Modelling New'!$N:$N)</f>
        <v>130</v>
      </c>
      <c r="AS30" s="223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18">
        <f>Table13[[#This Row],[Date]]-DAY(Table13[[#This Row],[Date]])+1</f>
        <v>45748</v>
      </c>
      <c r="E31" s="9">
        <f t="shared" si="0"/>
        <v>30</v>
      </c>
      <c r="F31" s="188">
        <f>IFERROR(_xlfn.XLOOKUP($A31,Input_Raw!$A:$A,Input_Raw!$FC:$FC),"")</f>
        <v>12.183333333333335</v>
      </c>
      <c r="G31" s="178">
        <f>IFERROR(_xlfn.XLOOKUP($A31,Input_Raw!$A:$A,Input_Raw!$CY:$CY),"")</f>
        <v>7.6219880333333352</v>
      </c>
      <c r="H31" s="178">
        <f>IFERROR(_xlfn.XLOOKUP($A31,Input_Raw!$A:$A,Input_Raw!$DA:$DA),"")</f>
        <v>1.4941409499999989</v>
      </c>
      <c r="I31" s="178">
        <f>IFERROR(_xlfn.XLOOKUP($A31,Input_Raw!$A:$A,Input_Raw!$CX:$CX),"")</f>
        <v>7.5635796833333417</v>
      </c>
      <c r="J31" s="178">
        <f>IFERROR(_xlfn.XLOOKUP($A31,Input_Raw!$A:$A,Input_Raw!$CZ:$CZ),"")</f>
        <v>1.0114160166666659</v>
      </c>
      <c r="K31" s="190">
        <f>IFERROR(_xlfn.XLOOKUP($A31,Input_Raw!$A:$A,Input_Raw!$DB:$DB),"")</f>
        <v>33.387426686217069</v>
      </c>
      <c r="L31" s="190">
        <f>IFERROR(_xlfn.XLOOKUP($A31,Input_Raw!$A:$A,Input_Raw!$DC:$DC),"")</f>
        <v>46.429399560117247</v>
      </c>
      <c r="M31" s="189">
        <f>IFERROR(_xlfn.XLOOKUP($A31,Input_Raw!$A:$A,Input_Raw!$DF:$DF),"")</f>
        <v>0.83431231671554296</v>
      </c>
      <c r="N31" s="189">
        <f>IFERROR(_xlfn.XLOOKUP($A31,Input_Raw!$A:$A,Input_Raw!$DG:$DG),"")</f>
        <v>3.3090000000000002</v>
      </c>
      <c r="O31" s="219">
        <f>IFERROR(1-(SUMIF(Plant_BD!$B:$B,$A31,Plant_BD!$AL:$AL)/($AA31+SUMIF(Plant_BD!$B:$B,$A31,Plant_BD!$AL:$AL))),"")</f>
        <v>1</v>
      </c>
      <c r="P31" s="219"/>
      <c r="Q31" s="220">
        <f>IFERROR(1-(SUMIF(Grid_BD!$B:$B,$A31,Grid_BD!$V:$V)/($AA31+SUMIF(Grid_BD!$B:$B,$A31,Grid_BD!$V:$V))),"")</f>
        <v>1</v>
      </c>
      <c r="R31" s="219">
        <f>IFERROR(1-(SUMIF(Grid_BD!$B:$B,$A31,Grid_BD!$V:$V)/($AA31+SUMIF(Grid_BD!$B:$B,$A31,Grid_BD!$V:$V))),"")</f>
        <v>1</v>
      </c>
      <c r="S31" s="9"/>
      <c r="T31" s="220"/>
      <c r="U31" s="221">
        <f t="shared" si="1"/>
        <v>0.80968463903528953</v>
      </c>
      <c r="V31" s="221" t="str">
        <f>IFERROR(_xlfn.XLOOKUP($A31,Input_Raw!$A:$A,Input_Raw!$FG:$FG),"")</f>
        <v/>
      </c>
      <c r="W31" s="222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78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22">
        <f>IFERROR(_xlfn.XLOOKUP($D31,'Modelling New'!$D:$D,'Modelling New'!O:O),"")</f>
        <v>0.76452024028227472</v>
      </c>
      <c r="AF31" s="222">
        <f>IFERROR(_xlfn.XLOOKUP($D31,'Modelling New'!$D:$D,'Modelling New'!W:W),"")</f>
        <v>0.22744477148397671</v>
      </c>
      <c r="AG31" s="222">
        <f>IFERROR(_xlfn.XLOOKUP($D31,'Modelling New'!$D:$D,'Modelling New'!AE:AE),"")</f>
        <v>0.995</v>
      </c>
      <c r="AH31" s="222">
        <f>IFERROR(_xlfn.XLOOKUP($D31,'Modelling New'!$D:$D,'Modelling New'!AF:AF),"")</f>
        <v>0.995</v>
      </c>
      <c r="AI31" s="9"/>
      <c r="AJ31" s="9"/>
      <c r="AK31" s="245"/>
      <c r="AL31" s="245"/>
      <c r="AM31" s="245"/>
      <c r="AN31" s="219"/>
      <c r="AO31" s="222"/>
      <c r="AP31" s="222"/>
      <c r="AQ31" s="222"/>
      <c r="AR31" s="223">
        <f>_xlfn.XLOOKUP(D31,'Modelling New'!$D:$D,'Modelling New'!$N:$N)</f>
        <v>130</v>
      </c>
      <c r="AS31" s="223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18">
        <f>Table13[[#This Row],[Date]]-DAY(Table13[[#This Row],[Date]])+1</f>
        <v>45748</v>
      </c>
      <c r="E32" s="9">
        <f t="shared" si="0"/>
        <v>30</v>
      </c>
      <c r="F32" s="188">
        <f>IFERROR(_xlfn.XLOOKUP($A32,Input_Raw!$A:$A,Input_Raw!$FC:$FC),"")</f>
        <v>12.166666666666666</v>
      </c>
      <c r="G32" s="189">
        <f>IFERROR(_xlfn.XLOOKUP($A32,Input_Raw!$A:$A,Input_Raw!$CY:$CY),"")</f>
        <v>7.3132474333333359</v>
      </c>
      <c r="H32" s="189">
        <f>IFERROR(_xlfn.XLOOKUP($A32,Input_Raw!$A:$A,Input_Raw!$DA:$DA),"")</f>
        <v>1.4423139333333357</v>
      </c>
      <c r="I32" s="189">
        <f>IFERROR(_xlfn.XLOOKUP($A32,Input_Raw!$A:$A,Input_Raw!$CX:$CX),"")</f>
        <v>7.2595238333333336</v>
      </c>
      <c r="J32" s="189">
        <f>IFERROR(_xlfn.XLOOKUP($A32,Input_Raw!$A:$A,Input_Raw!$CZ:$CZ),"")</f>
        <v>0.97667948333333265</v>
      </c>
      <c r="K32" s="190">
        <f>IFERROR(_xlfn.XLOOKUP($A32,Input_Raw!$A:$A,Input_Raw!$DB:$DB),"")</f>
        <v>34.416343750000024</v>
      </c>
      <c r="L32" s="190">
        <f>IFERROR(_xlfn.XLOOKUP($A32,Input_Raw!$A:$A,Input_Raw!$DC:$DC),"")</f>
        <v>47.668648437499989</v>
      </c>
      <c r="M32" s="189">
        <f>IFERROR(_xlfn.XLOOKUP($A32,Input_Raw!$A:$A,Input_Raw!$DF:$DF),"")</f>
        <v>0.93262031249999977</v>
      </c>
      <c r="N32" s="189">
        <f>IFERROR(_xlfn.XLOOKUP($A32,Input_Raw!$A:$A,Input_Raw!$DG:$DG),"")</f>
        <v>2.835</v>
      </c>
      <c r="O32" s="219">
        <f>IFERROR(1-(SUMIF(Plant_BD!$B:$B,$A32,Plant_BD!$AL:$AL)/($AA32+SUMIF(Plant_BD!$B:$B,$A32,Plant_BD!$AL:$AL))),"")</f>
        <v>0.99473800877668861</v>
      </c>
      <c r="P32" s="219"/>
      <c r="Q32" s="220">
        <f>IFERROR(1-(SUMIF(Grid_BD!$B:$B,$A32,Grid_BD!$V:$V)/($AA32+SUMIF(Grid_BD!$B:$B,$A32,Grid_BD!$V:$V))),"")</f>
        <v>1</v>
      </c>
      <c r="R32" s="219">
        <f>IFERROR(1-(SUMIF(Grid_BD!$B:$B,$A32,Grid_BD!$V:$V)/($AA32+SUMIF(Grid_BD!$B:$B,$A32,Grid_BD!$V:$V))),"")</f>
        <v>1</v>
      </c>
      <c r="S32" s="9"/>
      <c r="T32" s="220"/>
      <c r="U32" s="221">
        <f t="shared" si="1"/>
        <v>0.80307777727535878</v>
      </c>
      <c r="V32" s="221" t="str">
        <f>IFERROR(_xlfn.XLOOKUP($A32,Input_Raw!$A:$A,Input_Raw!$FG:$FG),"")</f>
        <v/>
      </c>
      <c r="W32" s="222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78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22">
        <f>IFERROR(_xlfn.XLOOKUP($D32,'Modelling New'!$D:$D,'Modelling New'!O:O),"")</f>
        <v>0.76452024028227472</v>
      </c>
      <c r="AF32" s="222">
        <f>IFERROR(_xlfn.XLOOKUP($D32,'Modelling New'!$D:$D,'Modelling New'!W:W),"")</f>
        <v>0.22744477148397671</v>
      </c>
      <c r="AG32" s="222">
        <f>IFERROR(_xlfn.XLOOKUP($D32,'Modelling New'!$D:$D,'Modelling New'!AE:AE),"")</f>
        <v>0.995</v>
      </c>
      <c r="AH32" s="222">
        <f>IFERROR(_xlfn.XLOOKUP($D32,'Modelling New'!$D:$D,'Modelling New'!AF:AF),"")</f>
        <v>0.995</v>
      </c>
      <c r="AI32" s="9"/>
      <c r="AJ32" s="9"/>
      <c r="AK32" s="245"/>
      <c r="AL32" s="245"/>
      <c r="AM32" s="245"/>
      <c r="AN32" s="219"/>
      <c r="AO32" s="222"/>
      <c r="AP32" s="222"/>
      <c r="AQ32" s="222"/>
      <c r="AR32" s="223">
        <f>_xlfn.XLOOKUP(D32,'Modelling New'!$D:$D,'Modelling New'!$N:$N)</f>
        <v>130</v>
      </c>
      <c r="AS32" s="223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18">
        <f>Table13[[#This Row],[Date]]-DAY(Table13[[#This Row],[Date]])+1</f>
        <v>45748</v>
      </c>
      <c r="E33" s="9">
        <f t="shared" si="0"/>
        <v>30</v>
      </c>
      <c r="F33" s="188">
        <f>IFERROR(_xlfn.XLOOKUP($A33,Input_Raw!$A:$A,Input_Raw!$FC:$FC),"")</f>
        <v>12.2</v>
      </c>
      <c r="G33" s="178">
        <f>IFERROR(_xlfn.XLOOKUP($A33,Input_Raw!$A:$A,Input_Raw!$CY:$CY),"")</f>
        <v>7.319</v>
      </c>
      <c r="H33" s="178">
        <f>IFERROR(_xlfn.XLOOKUP($A33,Input_Raw!$A:$A,Input_Raw!$DA:$DA),"")</f>
        <v>1.45</v>
      </c>
      <c r="I33" s="178">
        <f>IFERROR(_xlfn.XLOOKUP($A33,Input_Raw!$A:$A,Input_Raw!$CX:$CX),"")</f>
        <v>7.25</v>
      </c>
      <c r="J33" s="178">
        <f>IFERROR(_xlfn.XLOOKUP($A33,Input_Raw!$A:$A,Input_Raw!$CZ:$CZ),"")</f>
        <v>0.97299999999999998</v>
      </c>
      <c r="K33" s="190">
        <f>IFERROR(_xlfn.XLOOKUP($A33,Input_Raw!$A:$A,Input_Raw!$DB:$DB),"")</f>
        <v>34.658999999999999</v>
      </c>
      <c r="L33" s="190">
        <f>IFERROR(_xlfn.XLOOKUP($A33,Input_Raw!$A:$A,Input_Raw!$DC:$DC),"")</f>
        <v>46.444000000000003</v>
      </c>
      <c r="M33" s="189">
        <f>IFERROR(_xlfn.XLOOKUP($A33,Input_Raw!$A:$A,Input_Raw!$DF:$DF),"")</f>
        <v>1.127</v>
      </c>
      <c r="N33" s="189">
        <f>IFERROR(_xlfn.XLOOKUP($A33,Input_Raw!$A:$A,Input_Raw!$DG:$DG),"")</f>
        <v>3.234</v>
      </c>
      <c r="O33" s="219">
        <f>IFERROR(1-(SUMIF(Plant_BD!$B:$B,$A33,Plant_BD!$AL:$AL)/($AA33+SUMIF(Plant_BD!$B:$B,$A33,Plant_BD!$AL:$AL))),"")</f>
        <v>0.99198807593253546</v>
      </c>
      <c r="P33" s="219"/>
      <c r="Q33" s="220">
        <f>IFERROR(1-(SUMIF(Grid_BD!$B:$B,$A33,Grid_BD!$V:$V)/($AA33+SUMIF(Grid_BD!$B:$B,$A33,Grid_BD!$V:$V))),"")</f>
        <v>1</v>
      </c>
      <c r="R33" s="219">
        <f>IFERROR(1-(SUMIF(Grid_BD!$B:$B,$A33,Grid_BD!$V:$V)/($AA33+SUMIF(Grid_BD!$B:$B,$A33,Grid_BD!$V:$V))),"")</f>
        <v>1</v>
      </c>
      <c r="S33" s="9"/>
      <c r="T33" s="220"/>
      <c r="U33" s="221">
        <f t="shared" si="1"/>
        <v>0.80225894599871517</v>
      </c>
      <c r="V33" s="221" t="str">
        <f>IFERROR(_xlfn.XLOOKUP($A33,Input_Raw!$A:$A,Input_Raw!$FG:$FG),"")</f>
        <v/>
      </c>
      <c r="W33" s="222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78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22">
        <f>IFERROR(_xlfn.XLOOKUP($D33,'Modelling New'!$D:$D,'Modelling New'!O:O),"")</f>
        <v>0.76452024028227472</v>
      </c>
      <c r="AF33" s="222">
        <f>IFERROR(_xlfn.XLOOKUP($D33,'Modelling New'!$D:$D,'Modelling New'!W:W),"")</f>
        <v>0.22744477148397671</v>
      </c>
      <c r="AG33" s="222">
        <f>IFERROR(_xlfn.XLOOKUP($D33,'Modelling New'!$D:$D,'Modelling New'!AE:AE),"")</f>
        <v>0.995</v>
      </c>
      <c r="AH33" s="222">
        <f>IFERROR(_xlfn.XLOOKUP($D33,'Modelling New'!$D:$D,'Modelling New'!AF:AF),"")</f>
        <v>0.995</v>
      </c>
      <c r="AI33" s="9"/>
      <c r="AJ33" s="9"/>
      <c r="AK33" s="245"/>
      <c r="AL33" s="245"/>
      <c r="AM33" s="245"/>
      <c r="AN33" s="219"/>
      <c r="AO33" s="222"/>
      <c r="AP33" s="222"/>
      <c r="AQ33" s="222"/>
      <c r="AR33" s="223">
        <f>_xlfn.XLOOKUP(D33,'Modelling New'!$D:$D,'Modelling New'!$N:$N)</f>
        <v>130</v>
      </c>
      <c r="AS33" s="223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18">
        <f>Table13[[#This Row],[Date]]-DAY(Table13[[#This Row],[Date]])+1</f>
        <v>45748</v>
      </c>
      <c r="E34" s="9">
        <f t="shared" si="0"/>
        <v>30</v>
      </c>
      <c r="F34" s="188">
        <f>IFERROR(_xlfn.XLOOKUP($A34,Input_Raw!$A:$A,Input_Raw!$FC:$FC),"")</f>
        <v>12.350000000000001</v>
      </c>
      <c r="G34" s="189">
        <f>IFERROR(_xlfn.XLOOKUP($A34,Input_Raw!$A:$A,Input_Raw!$CY:$CY),"")</f>
        <v>7.1730949499999959</v>
      </c>
      <c r="H34" s="189">
        <f>IFERROR(_xlfn.XLOOKUP($A34,Input_Raw!$A:$A,Input_Raw!$DA:$DA),"")</f>
        <v>1.4169633833333344</v>
      </c>
      <c r="I34" s="189">
        <f>IFERROR(_xlfn.XLOOKUP($A34,Input_Raw!$A:$A,Input_Raw!$CX:$CX),"")</f>
        <v>7.1097299999999928</v>
      </c>
      <c r="J34" s="189">
        <f>IFERROR(_xlfn.XLOOKUP($A34,Input_Raw!$A:$A,Input_Raw!$CZ:$CZ),"")</f>
        <v>0.95906664999999913</v>
      </c>
      <c r="K34" s="190">
        <f>IFERROR(_xlfn.XLOOKUP($A34,Input_Raw!$A:$A,Input_Raw!$DB:$DB),"")</f>
        <v>34.780388888888922</v>
      </c>
      <c r="L34" s="190">
        <f>IFERROR(_xlfn.XLOOKUP($A34,Input_Raw!$A:$A,Input_Raw!$DC:$DC),"")</f>
        <v>46.799704861111138</v>
      </c>
      <c r="M34" s="189">
        <f>IFERROR(_xlfn.XLOOKUP($A34,Input_Raw!$A:$A,Input_Raw!$DF:$DF),"")</f>
        <v>1.3726166666666655</v>
      </c>
      <c r="N34" s="189">
        <f>IFERROR(_xlfn.XLOOKUP($A34,Input_Raw!$A:$A,Input_Raw!$DG:$DG),"")</f>
        <v>3.3029999999999999</v>
      </c>
      <c r="O34" s="219">
        <f>IFERROR(1-(SUMIF(Plant_BD!$B:$B,$A34,Plant_BD!$AL:$AL)/($AA34+SUMIF(Plant_BD!$B:$B,$A34,Plant_BD!$AL:$AL))),"")</f>
        <v>0.9940353886182407</v>
      </c>
      <c r="P34" s="219"/>
      <c r="Q34" s="220">
        <f>IFERROR(1-(SUMIF(Grid_BD!$B:$B,$A34,Grid_BD!$V:$V)/($AA34+SUMIF(Grid_BD!$B:$B,$A34,Grid_BD!$V:$V))),"")</f>
        <v>1</v>
      </c>
      <c r="R34" s="219">
        <f>IFERROR(1-(SUMIF(Grid_BD!$B:$B,$A34,Grid_BD!$V:$V)/($AA34+SUMIF(Grid_BD!$B:$B,$A34,Grid_BD!$V:$V))),"")</f>
        <v>1</v>
      </c>
      <c r="S34" s="9"/>
      <c r="T34" s="220"/>
      <c r="U34" s="221">
        <f t="shared" si="1"/>
        <v>0.80776891217027569</v>
      </c>
      <c r="V34" s="221" t="str">
        <f>IFERROR(_xlfn.XLOOKUP($A34,Input_Raw!$A:$A,Input_Raw!$FG:$FG),"")</f>
        <v/>
      </c>
      <c r="W34" s="222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78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22">
        <f>IFERROR(_xlfn.XLOOKUP($D34,'Modelling New'!$D:$D,'Modelling New'!O:O),"")</f>
        <v>0.76452024028227472</v>
      </c>
      <c r="AF34" s="222">
        <f>IFERROR(_xlfn.XLOOKUP($D34,'Modelling New'!$D:$D,'Modelling New'!W:W),"")</f>
        <v>0.22744477148397671</v>
      </c>
      <c r="AG34" s="222">
        <f>IFERROR(_xlfn.XLOOKUP($D34,'Modelling New'!$D:$D,'Modelling New'!AE:AE),"")</f>
        <v>0.995</v>
      </c>
      <c r="AH34" s="222">
        <f>IFERROR(_xlfn.XLOOKUP($D34,'Modelling New'!$D:$D,'Modelling New'!AF:AF),"")</f>
        <v>0.995</v>
      </c>
      <c r="AI34" s="9"/>
      <c r="AJ34" s="9"/>
      <c r="AK34" s="245"/>
      <c r="AL34" s="245"/>
      <c r="AM34" s="245"/>
      <c r="AN34" s="219"/>
      <c r="AO34" s="222"/>
      <c r="AP34" s="222"/>
      <c r="AQ34" s="222"/>
      <c r="AR34" s="223">
        <f>_xlfn.XLOOKUP(D34,'Modelling New'!$D:$D,'Modelling New'!$N:$N)</f>
        <v>130</v>
      </c>
      <c r="AS34" s="223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18">
        <f>Table13[[#This Row],[Date]]-DAY(Table13[[#This Row],[Date]])+1</f>
        <v>45778</v>
      </c>
      <c r="E35" s="9">
        <f t="shared" si="0"/>
        <v>31</v>
      </c>
      <c r="F35" s="188">
        <f>IFERROR(_xlfn.XLOOKUP($A35,Input_Raw!$A:$A,Input_Raw!$FC:$FC),"")</f>
        <v>12.250000000000002</v>
      </c>
      <c r="G35" s="178">
        <f>IFERROR(_xlfn.XLOOKUP($A35,Input_Raw!$A:$A,Input_Raw!$CY:$CY),"")</f>
        <v>6.7727145250000023</v>
      </c>
      <c r="H35" s="178">
        <f>IFERROR(_xlfn.XLOOKUP($A35,Input_Raw!$A:$A,Input_Raw!$DA:$DA),"")</f>
        <v>1.3220148500000013</v>
      </c>
      <c r="I35" s="178">
        <f>IFERROR(_xlfn.XLOOKUP($A35,Input_Raw!$A:$A,Input_Raw!$CX:$CX),"")</f>
        <v>6.7944487083333307</v>
      </c>
      <c r="J35" s="178">
        <f>IFERROR(_xlfn.XLOOKUP($A35,Input_Raw!$A:$A,Input_Raw!$CZ:$CZ),"")</f>
        <v>1.0523186583333333</v>
      </c>
      <c r="K35" s="190">
        <f>IFERROR(_xlfn.XLOOKUP($A35,Input_Raw!$A:$A,Input_Raw!$DB:$DB),"")</f>
        <v>34.348020654715512</v>
      </c>
      <c r="L35" s="190">
        <f>IFERROR(_xlfn.XLOOKUP($A35,Input_Raw!$A:$A,Input_Raw!$DC:$DC),"")</f>
        <v>45.56160405300075</v>
      </c>
      <c r="M35" s="189">
        <f>IFERROR(_xlfn.XLOOKUP($A35,Input_Raw!$A:$A,Input_Raw!$DF:$DF),"")</f>
        <v>1.0509953234606388</v>
      </c>
      <c r="N35" s="189">
        <f>IFERROR(_xlfn.XLOOKUP($A35,Input_Raw!$A:$A,Input_Raw!$DG:$DG),"")</f>
        <v>3.069</v>
      </c>
      <c r="O35" s="219">
        <f>IFERROR(1-(SUMIF(Plant_BD!$B:$B,$A35,Plant_BD!$AL:$AL)/($AA35+SUMIF(Plant_BD!$B:$B,$A35,Plant_BD!$AL:$AL))),"")</f>
        <v>0.99994824206254385</v>
      </c>
      <c r="P35" s="219"/>
      <c r="Q35" s="220">
        <f>IFERROR(1-(SUMIF(Grid_BD!$B:$B,$A35,Grid_BD!$V:$V)/($AA35+SUMIF(Grid_BD!$B:$B,$A35,Grid_BD!$V:$V))),"")</f>
        <v>1</v>
      </c>
      <c r="R35" s="219">
        <f>IFERROR(1-(SUMIF(Grid_BD!$B:$B,$A35,Grid_BD!$V:$V)/($AA35+SUMIF(Grid_BD!$B:$B,$A35,Grid_BD!$V:$V))),"")</f>
        <v>1</v>
      </c>
      <c r="S35" s="9"/>
      <c r="T35" s="220"/>
      <c r="U35" s="221">
        <f t="shared" si="1"/>
        <v>0.84325222077799633</v>
      </c>
      <c r="V35" s="221" t="str">
        <f>IFERROR(_xlfn.XLOOKUP($A35,Input_Raw!$A:$A,Input_Raw!$FG:$FG),"")</f>
        <v/>
      </c>
      <c r="W35" s="222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78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22">
        <f>IFERROR(_xlfn.XLOOKUP($D35,'Modelling New'!$D:$D,'Modelling New'!O:O),"")</f>
        <v>0.806597995656121</v>
      </c>
      <c r="AF35" s="222">
        <f>IFERROR(_xlfn.XLOOKUP($D35,'Modelling New'!$D:$D,'Modelling New'!W:W),"")</f>
        <v>0.23157168262385408</v>
      </c>
      <c r="AG35" s="222">
        <f>IFERROR(_xlfn.XLOOKUP($D35,'Modelling New'!$D:$D,'Modelling New'!AE:AE),"")</f>
        <v>0.995</v>
      </c>
      <c r="AH35" s="222">
        <f>IFERROR(_xlfn.XLOOKUP($D35,'Modelling New'!$D:$D,'Modelling New'!AF:AF),"")</f>
        <v>0.995</v>
      </c>
      <c r="AI35" s="9"/>
      <c r="AJ35" s="9"/>
      <c r="AK35" s="245"/>
      <c r="AL35" s="245"/>
      <c r="AM35" s="245"/>
      <c r="AN35" s="219"/>
      <c r="AO35" s="222"/>
      <c r="AP35" s="222"/>
      <c r="AQ35" s="222"/>
      <c r="AR35" s="223">
        <f>_xlfn.XLOOKUP(D35,'Modelling New'!$D:$D,'Modelling New'!$N:$N)</f>
        <v>130</v>
      </c>
      <c r="AS35" s="223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18">
        <f>Table13[[#This Row],[Date]]-DAY(Table13[[#This Row],[Date]])+1</f>
        <v>45778</v>
      </c>
      <c r="E36" s="9">
        <f t="shared" si="0"/>
        <v>31</v>
      </c>
      <c r="F36" s="188">
        <f>IFERROR(_xlfn.XLOOKUP($A36,Input_Raw!$A:$A,Input_Raw!$FC:$FC),"")</f>
        <v>12.116666666666664</v>
      </c>
      <c r="G36" s="189">
        <f>IFERROR(_xlfn.XLOOKUP($A36,Input_Raw!$A:$A,Input_Raw!$CY:$CY),"")</f>
        <v>6.5467237416666695</v>
      </c>
      <c r="H36" s="189">
        <f>IFERROR(_xlfn.XLOOKUP($A36,Input_Raw!$A:$A,Input_Raw!$DA:$DA),"")</f>
        <v>1.2694045833333329</v>
      </c>
      <c r="I36" s="189">
        <f>IFERROR(_xlfn.XLOOKUP($A36,Input_Raw!$A:$A,Input_Raw!$CX:$CX),"")</f>
        <v>6.6064659666666623</v>
      </c>
      <c r="J36" s="189">
        <f>IFERROR(_xlfn.XLOOKUP($A36,Input_Raw!$A:$A,Input_Raw!$CZ:$CZ),"")</f>
        <v>1.0281764249999998</v>
      </c>
      <c r="K36" s="190">
        <f>IFERROR(_xlfn.XLOOKUP($A36,Input_Raw!$A:$A,Input_Raw!$DB:$DB),"")</f>
        <v>35.026340624147807</v>
      </c>
      <c r="L36" s="190">
        <f>IFERROR(_xlfn.XLOOKUP($A36,Input_Raw!$A:$A,Input_Raw!$DC:$DC),"")</f>
        <v>46.832291066784634</v>
      </c>
      <c r="M36" s="189">
        <f>IFERROR(_xlfn.XLOOKUP($A36,Input_Raw!$A:$A,Input_Raw!$DF:$DF),"")</f>
        <v>1.2342428004176957</v>
      </c>
      <c r="N36" s="189">
        <f>IFERROR(_xlfn.XLOOKUP($A36,Input_Raw!$A:$A,Input_Raw!$DG:$DG),"")</f>
        <v>3.351</v>
      </c>
      <c r="O36" s="219">
        <f>IFERROR(1-(SUMIF(Plant_BD!$B:$B,$A36,Plant_BD!$AL:$AL)/($AA36+SUMIF(Plant_BD!$B:$B,$A36,Plant_BD!$AL:$AL))),"")</f>
        <v>1</v>
      </c>
      <c r="P36" s="219"/>
      <c r="Q36" s="220">
        <f>IFERROR(1-(SUMIF(Grid_BD!$B:$B,$A36,Grid_BD!$V:$V)/($AA36+SUMIF(Grid_BD!$B:$B,$A36,Grid_BD!$V:$V))),"")</f>
        <v>1</v>
      </c>
      <c r="R36" s="219">
        <f>IFERROR(1-(SUMIF(Grid_BD!$B:$B,$A36,Grid_BD!$V:$V)/($AA36+SUMIF(Grid_BD!$B:$B,$A36,Grid_BD!$V:$V))),"")</f>
        <v>1</v>
      </c>
      <c r="S36" s="9"/>
      <c r="T36" s="220"/>
      <c r="U36" s="221">
        <f t="shared" si="1"/>
        <v>0.83845815765455189</v>
      </c>
      <c r="V36" s="221" t="str">
        <f>IFERROR(_xlfn.XLOOKUP($A36,Input_Raw!$A:$A,Input_Raw!$FG:$FG),"")</f>
        <v/>
      </c>
      <c r="W36" s="222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78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22">
        <f>IFERROR(_xlfn.XLOOKUP($D36,'Modelling New'!$D:$D,'Modelling New'!O:O),"")</f>
        <v>0.806597995656121</v>
      </c>
      <c r="AF36" s="222">
        <f>IFERROR(_xlfn.XLOOKUP($D36,'Modelling New'!$D:$D,'Modelling New'!W:W),"")</f>
        <v>0.23157168262385408</v>
      </c>
      <c r="AG36" s="222">
        <f>IFERROR(_xlfn.XLOOKUP($D36,'Modelling New'!$D:$D,'Modelling New'!AE:AE),"")</f>
        <v>0.995</v>
      </c>
      <c r="AH36" s="222">
        <f>IFERROR(_xlfn.XLOOKUP($D36,'Modelling New'!$D:$D,'Modelling New'!AF:AF),"")</f>
        <v>0.995</v>
      </c>
      <c r="AI36" s="9"/>
      <c r="AJ36" s="9"/>
      <c r="AK36" s="245"/>
      <c r="AL36" s="245"/>
      <c r="AM36" s="245"/>
      <c r="AN36" s="219"/>
      <c r="AO36" s="222"/>
      <c r="AP36" s="222"/>
      <c r="AQ36" s="222"/>
      <c r="AR36" s="223">
        <f>_xlfn.XLOOKUP(D36,'Modelling New'!$D:$D,'Modelling New'!$N:$N)</f>
        <v>130</v>
      </c>
      <c r="AS36" s="223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18">
        <f>Table13[[#This Row],[Date]]-DAY(Table13[[#This Row],[Date]])+1</f>
        <v>45778</v>
      </c>
      <c r="E37" s="9">
        <f t="shared" si="0"/>
        <v>31</v>
      </c>
      <c r="F37" s="188">
        <f>IFERROR(_xlfn.XLOOKUP($A37,Input_Raw!$A:$A,Input_Raw!$FC:$FC),"")</f>
        <v>12.283333333333335</v>
      </c>
      <c r="G37" s="178">
        <f>IFERROR(_xlfn.XLOOKUP($A37,Input_Raw!$A:$A,Input_Raw!$CY:$CY),"")</f>
        <v>6.7389212499999953</v>
      </c>
      <c r="H37" s="178">
        <f>IFERROR(_xlfn.XLOOKUP($A37,Input_Raw!$A:$A,Input_Raw!$DA:$DA),"")</f>
        <v>1.3062831583333341</v>
      </c>
      <c r="I37" s="178">
        <f>IFERROR(_xlfn.XLOOKUP($A37,Input_Raw!$A:$A,Input_Raw!$CX:$CX),"")</f>
        <v>6.6288632166666588</v>
      </c>
      <c r="J37" s="178">
        <f>IFERROR(_xlfn.XLOOKUP($A37,Input_Raw!$A:$A,Input_Raw!$CZ:$CZ),"")</f>
        <v>1.0335434083333335</v>
      </c>
      <c r="K37" s="190">
        <f>IFERROR(_xlfn.XLOOKUP($A37,Input_Raw!$A:$A,Input_Raw!$DB:$DB),"")</f>
        <v>34.236163194444451</v>
      </c>
      <c r="L37" s="190">
        <f>IFERROR(_xlfn.XLOOKUP($A37,Input_Raw!$A:$A,Input_Raw!$DC:$DC),"")</f>
        <v>45.05058541666665</v>
      </c>
      <c r="M37" s="189">
        <f>IFERROR(_xlfn.XLOOKUP($A37,Input_Raw!$A:$A,Input_Raw!$DF:$DF),"")</f>
        <v>1.3776812499999997</v>
      </c>
      <c r="N37" s="189">
        <f>IFERROR(_xlfn.XLOOKUP($A37,Input_Raw!$A:$A,Input_Raw!$DG:$DG),"")</f>
        <v>3.1379999999999999</v>
      </c>
      <c r="O37" s="219">
        <f>IFERROR(1-(SUMIF(Plant_BD!$B:$B,$A37,Plant_BD!$AL:$AL)/($AA37+SUMIF(Plant_BD!$B:$B,$A37,Plant_BD!$AL:$AL))),"")</f>
        <v>0.99315434527188673</v>
      </c>
      <c r="P37" s="219"/>
      <c r="Q37" s="220">
        <f>IFERROR(1-(SUMIF(Grid_BD!$B:$B,$A37,Grid_BD!$V:$V)/($AA37+SUMIF(Grid_BD!$B:$B,$A37,Grid_BD!$V:$V))),"")</f>
        <v>1</v>
      </c>
      <c r="R37" s="219">
        <f>IFERROR(1-(SUMIF(Grid_BD!$B:$B,$A37,Grid_BD!$V:$V)/($AA37+SUMIF(Grid_BD!$B:$B,$A37,Grid_BD!$V:$V))),"")</f>
        <v>1</v>
      </c>
      <c r="S37" s="9"/>
      <c r="T37" s="220"/>
      <c r="U37" s="221">
        <f t="shared" si="1"/>
        <v>0.8131847633369087</v>
      </c>
      <c r="V37" s="221" t="str">
        <f>IFERROR(_xlfn.XLOOKUP($A37,Input_Raw!$A:$A,Input_Raw!$FG:$FG),"")</f>
        <v/>
      </c>
      <c r="W37" s="222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78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22">
        <f>IFERROR(_xlfn.XLOOKUP($D37,'Modelling New'!$D:$D,'Modelling New'!O:O),"")</f>
        <v>0.806597995656121</v>
      </c>
      <c r="AF37" s="222">
        <f>IFERROR(_xlfn.XLOOKUP($D37,'Modelling New'!$D:$D,'Modelling New'!W:W),"")</f>
        <v>0.23157168262385408</v>
      </c>
      <c r="AG37" s="222">
        <f>IFERROR(_xlfn.XLOOKUP($D37,'Modelling New'!$D:$D,'Modelling New'!AE:AE),"")</f>
        <v>0.995</v>
      </c>
      <c r="AH37" s="222">
        <f>IFERROR(_xlfn.XLOOKUP($D37,'Modelling New'!$D:$D,'Modelling New'!AF:AF),"")</f>
        <v>0.995</v>
      </c>
      <c r="AI37" s="9"/>
      <c r="AJ37" s="9"/>
      <c r="AK37" s="245"/>
      <c r="AL37" s="245"/>
      <c r="AM37" s="245"/>
      <c r="AN37" s="219"/>
      <c r="AO37" s="222"/>
      <c r="AP37" s="222"/>
      <c r="AQ37" s="222"/>
      <c r="AR37" s="223">
        <f>_xlfn.XLOOKUP(D37,'Modelling New'!$D:$D,'Modelling New'!$N:$N)</f>
        <v>130</v>
      </c>
      <c r="AS37" s="223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18">
        <f>Table13[[#This Row],[Date]]-DAY(Table13[[#This Row],[Date]])+1</f>
        <v>45778</v>
      </c>
      <c r="E38" s="9">
        <f t="shared" si="0"/>
        <v>31</v>
      </c>
      <c r="F38" s="188">
        <f>IFERROR(_xlfn.XLOOKUP($A38,Input_Raw!$A:$A,Input_Raw!$FC:$FC),"")</f>
        <v>12.316666666666668</v>
      </c>
      <c r="G38" s="189">
        <f>IFERROR(_xlfn.XLOOKUP($A38,Input_Raw!$A:$A,Input_Raw!$CY:$CY),"")</f>
        <v>7.0226036499999935</v>
      </c>
      <c r="H38" s="189">
        <f>IFERROR(_xlfn.XLOOKUP($A38,Input_Raw!$A:$A,Input_Raw!$DA:$DA),"")</f>
        <v>1.3584885833333318</v>
      </c>
      <c r="I38" s="189">
        <f>IFERROR(_xlfn.XLOOKUP($A38,Input_Raw!$A:$A,Input_Raw!$CX:$CX),"")</f>
        <v>6.9749303999999963</v>
      </c>
      <c r="J38" s="189">
        <f>IFERROR(_xlfn.XLOOKUP($A38,Input_Raw!$A:$A,Input_Raw!$CZ:$CZ),"")</f>
        <v>1.080763658333332</v>
      </c>
      <c r="K38" s="190">
        <f>IFERROR(_xlfn.XLOOKUP($A38,Input_Raw!$A:$A,Input_Raw!$DB:$DB),"")</f>
        <v>32.2476319444444</v>
      </c>
      <c r="L38" s="190">
        <f>IFERROR(_xlfn.XLOOKUP($A38,Input_Raw!$A:$A,Input_Raw!$DC:$DC),"")</f>
        <v>44.457882291666706</v>
      </c>
      <c r="M38" s="189">
        <f>IFERROR(_xlfn.XLOOKUP($A38,Input_Raw!$A:$A,Input_Raw!$DF:$DF),"")</f>
        <v>1.210973958333333</v>
      </c>
      <c r="N38" s="189">
        <f>IFERROR(_xlfn.XLOOKUP($A38,Input_Raw!$A:$A,Input_Raw!$DG:$DG),"")</f>
        <v>3.5339999999999998</v>
      </c>
      <c r="O38" s="219">
        <f>IFERROR(1-(SUMIF(Plant_BD!$B:$B,$A38,Plant_BD!$AL:$AL)/($AA38+SUMIF(Plant_BD!$B:$B,$A38,Plant_BD!$AL:$AL))),"")</f>
        <v>0.99409975485043611</v>
      </c>
      <c r="P38" s="219"/>
      <c r="Q38" s="220">
        <f>IFERROR(1-(SUMIF(Grid_BD!$B:$B,$A38,Grid_BD!$V:$V)/($AA38+SUMIF(Grid_BD!$B:$B,$A38,Grid_BD!$V:$V))),"")</f>
        <v>1</v>
      </c>
      <c r="R38" s="219">
        <f>IFERROR(1-(SUMIF(Grid_BD!$B:$B,$A38,Grid_BD!$V:$V)/($AA38+SUMIF(Grid_BD!$B:$B,$A38,Grid_BD!$V:$V))),"")</f>
        <v>1</v>
      </c>
      <c r="S38" s="9"/>
      <c r="T38" s="220"/>
      <c r="U38" s="221">
        <f t="shared" si="1"/>
        <v>0.83360539664188082</v>
      </c>
      <c r="V38" s="221" t="str">
        <f>IFERROR(_xlfn.XLOOKUP($A38,Input_Raw!$A:$A,Input_Raw!$FG:$FG),"")</f>
        <v/>
      </c>
      <c r="W38" s="222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78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22">
        <f>IFERROR(_xlfn.XLOOKUP($D38,'Modelling New'!$D:$D,'Modelling New'!O:O),"")</f>
        <v>0.806597995656121</v>
      </c>
      <c r="AF38" s="222">
        <f>IFERROR(_xlfn.XLOOKUP($D38,'Modelling New'!$D:$D,'Modelling New'!W:W),"")</f>
        <v>0.23157168262385408</v>
      </c>
      <c r="AG38" s="222">
        <f>IFERROR(_xlfn.XLOOKUP($D38,'Modelling New'!$D:$D,'Modelling New'!AE:AE),"")</f>
        <v>0.995</v>
      </c>
      <c r="AH38" s="222">
        <f>IFERROR(_xlfn.XLOOKUP($D38,'Modelling New'!$D:$D,'Modelling New'!AF:AF),"")</f>
        <v>0.995</v>
      </c>
      <c r="AI38" s="9"/>
      <c r="AJ38" s="9"/>
      <c r="AK38" s="245"/>
      <c r="AL38" s="245"/>
      <c r="AM38" s="245"/>
      <c r="AN38" s="219"/>
      <c r="AO38" s="222"/>
      <c r="AP38" s="222"/>
      <c r="AQ38" s="222"/>
      <c r="AR38" s="223">
        <f>_xlfn.XLOOKUP(D38,'Modelling New'!$D:$D,'Modelling New'!$N:$N)</f>
        <v>130</v>
      </c>
      <c r="AS38" s="223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18">
        <f>Table13[[#This Row],[Date]]-DAY(Table13[[#This Row],[Date]])+1</f>
        <v>45778</v>
      </c>
      <c r="E39" s="9">
        <f t="shared" si="0"/>
        <v>31</v>
      </c>
      <c r="F39" s="188">
        <f>IFERROR(_xlfn.XLOOKUP($A39,Input_Raw!$A:$A,Input_Raw!$FC:$FC),"")</f>
        <v>12.966666666666665</v>
      </c>
      <c r="G39" s="178">
        <f>IFERROR(_xlfn.XLOOKUP($A39,Input_Raw!$A:$A,Input_Raw!$CY:$CY),"")</f>
        <v>6.6341772000000017</v>
      </c>
      <c r="H39" s="178">
        <f>IFERROR(_xlfn.XLOOKUP($A39,Input_Raw!$A:$A,Input_Raw!$DA:$DA),"")</f>
        <v>1.2550928333333338</v>
      </c>
      <c r="I39" s="178">
        <f>IFERROR(_xlfn.XLOOKUP($A39,Input_Raw!$A:$A,Input_Raw!$CX:$CX),"")</f>
        <v>6.5433729500000002</v>
      </c>
      <c r="J39" s="178">
        <f>IFERROR(_xlfn.XLOOKUP($A39,Input_Raw!$A:$A,Input_Raw!$CZ:$CZ),"")</f>
        <v>4.0191772000000014</v>
      </c>
      <c r="K39" s="190">
        <f>IFERROR(_xlfn.XLOOKUP($A39,Input_Raw!$A:$A,Input_Raw!$DB:$DB),"")</f>
        <v>32.477587427143987</v>
      </c>
      <c r="L39" s="190">
        <f>IFERROR(_xlfn.XLOOKUP($A39,Input_Raw!$A:$A,Input_Raw!$DC:$DC),"")</f>
        <v>44.325004995836792</v>
      </c>
      <c r="M39" s="189">
        <f>IFERROR(_xlfn.XLOOKUP($A39,Input_Raw!$A:$A,Input_Raw!$DF:$DF),"")</f>
        <v>1.1245099916736043</v>
      </c>
      <c r="N39" s="189">
        <f>IFERROR(_xlfn.XLOOKUP($A39,Input_Raw!$A:$A,Input_Raw!$DG:$DG),"")</f>
        <v>3.9010000000000002</v>
      </c>
      <c r="O39" s="219">
        <f>IFERROR(1-(SUMIF(Plant_BD!$B:$B,$A39,Plant_BD!$AL:$AL)/($AA39+SUMIF(Plant_BD!$B:$B,$A39,Plant_BD!$AL:$AL))),"")</f>
        <v>1</v>
      </c>
      <c r="P39" s="219"/>
      <c r="Q39" s="220">
        <f>IFERROR(1-(SUMIF(Grid_BD!$B:$B,$A39,Grid_BD!$V:$V)/($AA39+SUMIF(Grid_BD!$B:$B,$A39,Grid_BD!$V:$V))),"")</f>
        <v>1</v>
      </c>
      <c r="R39" s="219">
        <f>IFERROR(1-(SUMIF(Grid_BD!$B:$B,$A39,Grid_BD!$V:$V)/($AA39+SUMIF(Grid_BD!$B:$B,$A39,Grid_BD!$V:$V))),"")</f>
        <v>1</v>
      </c>
      <c r="S39" s="9"/>
      <c r="T39" s="220"/>
      <c r="U39" s="221">
        <f t="shared" si="1"/>
        <v>0.85868817566513223</v>
      </c>
      <c r="V39" s="221" t="str">
        <f>IFERROR(_xlfn.XLOOKUP($A39,Input_Raw!$A:$A,Input_Raw!$FG:$FG),"")</f>
        <v/>
      </c>
      <c r="W39" s="222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78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22">
        <f>IFERROR(_xlfn.XLOOKUP($D39,'Modelling New'!$D:$D,'Modelling New'!O:O),"")</f>
        <v>0.806597995656121</v>
      </c>
      <c r="AF39" s="222">
        <f>IFERROR(_xlfn.XLOOKUP($D39,'Modelling New'!$D:$D,'Modelling New'!W:W),"")</f>
        <v>0.23157168262385408</v>
      </c>
      <c r="AG39" s="222">
        <f>IFERROR(_xlfn.XLOOKUP($D39,'Modelling New'!$D:$D,'Modelling New'!AE:AE),"")</f>
        <v>0.995</v>
      </c>
      <c r="AH39" s="222">
        <f>IFERROR(_xlfn.XLOOKUP($D39,'Modelling New'!$D:$D,'Modelling New'!AF:AF),"")</f>
        <v>0.995</v>
      </c>
      <c r="AI39" s="9"/>
      <c r="AJ39" s="9"/>
      <c r="AK39" s="245"/>
      <c r="AL39" s="245"/>
      <c r="AM39" s="245"/>
      <c r="AN39" s="219"/>
      <c r="AO39" s="222"/>
      <c r="AP39" s="222"/>
      <c r="AQ39" s="222"/>
      <c r="AR39" s="223">
        <f>_xlfn.XLOOKUP(D39,'Modelling New'!$D:$D,'Modelling New'!$N:$N)</f>
        <v>130</v>
      </c>
      <c r="AS39" s="223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18">
        <f>Table13[[#This Row],[Date]]-DAY(Table13[[#This Row],[Date]])+1</f>
        <v>45778</v>
      </c>
      <c r="E40" s="9">
        <f t="shared" ref="E40:E103" si="5">DAY(EOMONTH(A40,0))</f>
        <v>31</v>
      </c>
      <c r="F40" s="188">
        <f>IFERROR(_xlfn.XLOOKUP($A40,Input_Raw!$A:$A,Input_Raw!$FC:$FC),"")</f>
        <v>11.65</v>
      </c>
      <c r="G40" s="189">
        <f>IFERROR(_xlfn.XLOOKUP($A40,Input_Raw!$A:$A,Input_Raw!$CY:$CY),"")</f>
        <v>6.5114990333333385</v>
      </c>
      <c r="H40" s="189">
        <f>IFERROR(_xlfn.XLOOKUP($A40,Input_Raw!$A:$A,Input_Raw!$DA:$DA),"")</f>
        <v>1.1526370333333338</v>
      </c>
      <c r="I40" s="189">
        <f>IFERROR(_xlfn.XLOOKUP($A40,Input_Raw!$A:$A,Input_Raw!$CX:$CX),"")</f>
        <v>6.6249372083333347</v>
      </c>
      <c r="J40" s="189">
        <f>IFERROR(_xlfn.XLOOKUP($A40,Input_Raw!$A:$A,Input_Raw!$CZ:$CZ),"")</f>
        <v>0.91383813333333308</v>
      </c>
      <c r="K40" s="190">
        <f>IFERROR(_xlfn.XLOOKUP($A40,Input_Raw!$A:$A,Input_Raw!$DB:$DB),"")</f>
        <v>28.059817274478693</v>
      </c>
      <c r="L40" s="190">
        <f>IFERROR(_xlfn.XLOOKUP($A40,Input_Raw!$A:$A,Input_Raw!$DC:$DC),"")</f>
        <v>40.513636661906439</v>
      </c>
      <c r="M40" s="189">
        <f>IFERROR(_xlfn.XLOOKUP($A40,Input_Raw!$A:$A,Input_Raw!$DF:$DF),"")</f>
        <v>1.34615974761111</v>
      </c>
      <c r="N40" s="189">
        <f>IFERROR(_xlfn.XLOOKUP($A40,Input_Raw!$A:$A,Input_Raw!$DG:$DG),"")</f>
        <v>5.8740000000000006</v>
      </c>
      <c r="O40" s="219">
        <f>IFERROR(1-(SUMIF(Plant_BD!$B:$B,$A40,Plant_BD!$AL:$AL)/($AA40+SUMIF(Plant_BD!$B:$B,$A40,Plant_BD!$AL:$AL))),"")</f>
        <v>1</v>
      </c>
      <c r="P40" s="219"/>
      <c r="Q40" s="220">
        <f>IFERROR(1-(SUMIF(Grid_BD!$B:$B,$A40,Grid_BD!$V:$V)/($AA40+SUMIF(Grid_BD!$B:$B,$A40,Grid_BD!$V:$V))),"")</f>
        <v>1</v>
      </c>
      <c r="R40" s="219">
        <f>IFERROR(1-(SUMIF(Grid_BD!$B:$B,$A40,Grid_BD!$V:$V)/($AA40+SUMIF(Grid_BD!$B:$B,$A40,Grid_BD!$V:$V))),"")</f>
        <v>1</v>
      </c>
      <c r="S40" s="9"/>
      <c r="T40" s="220"/>
      <c r="U40" s="221">
        <f t="shared" ref="U40:U103" si="6">IFERROR(AA40/I40/AB40/1000,"")</f>
        <v>0.85765141823619007</v>
      </c>
      <c r="V40" s="221" t="str">
        <f>IFERROR(_xlfn.XLOOKUP($A40,Input_Raw!$A:$A,Input_Raw!$FG:$FG),"")</f>
        <v/>
      </c>
      <c r="W40" s="222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78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22">
        <f>IFERROR(_xlfn.XLOOKUP($D40,'Modelling New'!$D:$D,'Modelling New'!O:O),"")</f>
        <v>0.806597995656121</v>
      </c>
      <c r="AF40" s="222">
        <f>IFERROR(_xlfn.XLOOKUP($D40,'Modelling New'!$D:$D,'Modelling New'!W:W),"")</f>
        <v>0.23157168262385408</v>
      </c>
      <c r="AG40" s="222">
        <f>IFERROR(_xlfn.XLOOKUP($D40,'Modelling New'!$D:$D,'Modelling New'!AE:AE),"")</f>
        <v>0.995</v>
      </c>
      <c r="AH40" s="222">
        <f>IFERROR(_xlfn.XLOOKUP($D40,'Modelling New'!$D:$D,'Modelling New'!AF:AF),"")</f>
        <v>0.995</v>
      </c>
      <c r="AI40" s="9"/>
      <c r="AJ40" s="9"/>
      <c r="AK40" s="245"/>
      <c r="AL40" s="245"/>
      <c r="AM40" s="245"/>
      <c r="AN40" s="219"/>
      <c r="AO40" s="222"/>
      <c r="AP40" s="222"/>
      <c r="AQ40" s="222"/>
      <c r="AR40" s="223">
        <f>_xlfn.XLOOKUP(D40,'Modelling New'!$D:$D,'Modelling New'!$N:$N)</f>
        <v>130</v>
      </c>
      <c r="AS40" s="223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18">
        <f>Table13[[#This Row],[Date]]-DAY(Table13[[#This Row],[Date]])+1</f>
        <v>45778</v>
      </c>
      <c r="E41" s="9">
        <f t="shared" si="5"/>
        <v>31</v>
      </c>
      <c r="F41" s="188">
        <f>IFERROR(_xlfn.XLOOKUP($A41,Input_Raw!$A:$A,Input_Raw!$FC:$FC),"")</f>
        <v>12.416666666666668</v>
      </c>
      <c r="G41" s="178">
        <f>IFERROR(_xlfn.XLOOKUP($A41,Input_Raw!$A:$A,Input_Raw!$CY:$CY),"")</f>
        <v>6.9249999999999998</v>
      </c>
      <c r="H41" s="178">
        <f>IFERROR(_xlfn.XLOOKUP($A41,Input_Raw!$A:$A,Input_Raw!$DA:$DA),"")</f>
        <v>1.198</v>
      </c>
      <c r="I41" s="178">
        <f>IFERROR(_xlfn.XLOOKUP($A41,Input_Raw!$A:$A,Input_Raw!$CX:$CX),"")</f>
        <v>6.8324999999999996</v>
      </c>
      <c r="J41" s="178">
        <f>IFERROR(_xlfn.XLOOKUP($A41,Input_Raw!$A:$A,Input_Raw!$CZ:$CZ),"")</f>
        <v>0.95550000000000002</v>
      </c>
      <c r="K41" s="190">
        <f>IFERROR(_xlfn.XLOOKUP($A41,Input_Raw!$A:$A,Input_Raw!$DB:$DB),"")</f>
        <v>26.634</v>
      </c>
      <c r="L41" s="190">
        <f>IFERROR(_xlfn.XLOOKUP($A41,Input_Raw!$A:$A,Input_Raw!$DC:$DC),"")</f>
        <v>39.819499999999998</v>
      </c>
      <c r="M41" s="189">
        <f>IFERROR(_xlfn.XLOOKUP($A41,Input_Raw!$A:$A,Input_Raw!$DF:$DF),"")</f>
        <v>1.1695</v>
      </c>
      <c r="N41" s="189">
        <f>IFERROR(_xlfn.XLOOKUP($A41,Input_Raw!$A:$A,Input_Raw!$DG:$DG),"")</f>
        <v>4.1549999999999994</v>
      </c>
      <c r="O41" s="219">
        <f>IFERROR(1-(SUMIF(Plant_BD!$B:$B,$A41,Plant_BD!$AL:$AL)/($AA41+SUMIF(Plant_BD!$B:$B,$A41,Plant_BD!$AL:$AL))),"")</f>
        <v>0.98474253108706689</v>
      </c>
      <c r="P41" s="219"/>
      <c r="Q41" s="220">
        <f>IFERROR(1-(SUMIF(Grid_BD!$B:$B,$A41,Grid_BD!$V:$V)/($AA41+SUMIF(Grid_BD!$B:$B,$A41,Grid_BD!$V:$V))),"")</f>
        <v>1</v>
      </c>
      <c r="R41" s="219">
        <f>IFERROR(1-(SUMIF(Grid_BD!$B:$B,$A41,Grid_BD!$V:$V)/($AA41+SUMIF(Grid_BD!$B:$B,$A41,Grid_BD!$V:$V))),"")</f>
        <v>1</v>
      </c>
      <c r="S41" s="9"/>
      <c r="T41" s="220"/>
      <c r="U41" s="221">
        <f t="shared" si="6"/>
        <v>0.84879564235860006</v>
      </c>
      <c r="V41" s="221" t="str">
        <f>IFERROR(_xlfn.XLOOKUP($A41,Input_Raw!$A:$A,Input_Raw!$FG:$FG),"")</f>
        <v/>
      </c>
      <c r="W41" s="222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78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22">
        <f>IFERROR(_xlfn.XLOOKUP($D41,'Modelling New'!$D:$D,'Modelling New'!O:O),"")</f>
        <v>0.806597995656121</v>
      </c>
      <c r="AF41" s="222">
        <f>IFERROR(_xlfn.XLOOKUP($D41,'Modelling New'!$D:$D,'Modelling New'!W:W),"")</f>
        <v>0.23157168262385408</v>
      </c>
      <c r="AG41" s="222">
        <f>IFERROR(_xlfn.XLOOKUP($D41,'Modelling New'!$D:$D,'Modelling New'!AE:AE),"")</f>
        <v>0.995</v>
      </c>
      <c r="AH41" s="222">
        <f>IFERROR(_xlfn.XLOOKUP($D41,'Modelling New'!$D:$D,'Modelling New'!AF:AF),"")</f>
        <v>0.995</v>
      </c>
      <c r="AI41" s="9"/>
      <c r="AJ41" s="9"/>
      <c r="AK41" s="245"/>
      <c r="AL41" s="245"/>
      <c r="AM41" s="245"/>
      <c r="AN41" s="219"/>
      <c r="AO41" s="222"/>
      <c r="AP41" s="222"/>
      <c r="AQ41" s="222"/>
      <c r="AR41" s="223">
        <f>_xlfn.XLOOKUP(D41,'Modelling New'!$D:$D,'Modelling New'!$N:$N)</f>
        <v>130</v>
      </c>
      <c r="AS41" s="223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18">
        <f>Table13[[#This Row],[Date]]-DAY(Table13[[#This Row],[Date]])+1</f>
        <v>45778</v>
      </c>
      <c r="E42" s="9">
        <f t="shared" si="5"/>
        <v>31</v>
      </c>
      <c r="F42" s="188">
        <f>IFERROR(_xlfn.XLOOKUP($A42,Input_Raw!$A:$A,Input_Raw!$FC:$FC),"")</f>
        <v>11.716666666666669</v>
      </c>
      <c r="G42" s="189">
        <f>IFERROR(_xlfn.XLOOKUP($A42,Input_Raw!$A:$A,Input_Raw!$CY:$CY),"")</f>
        <v>1.6428539000000013</v>
      </c>
      <c r="H42" s="189">
        <f>IFERROR(_xlfn.XLOOKUP($A42,Input_Raw!$A:$A,Input_Raw!$DA:$DA),"")</f>
        <v>1.6257669416666662</v>
      </c>
      <c r="I42" s="189">
        <f>IFERROR(_xlfn.XLOOKUP($A42,Input_Raw!$A:$A,Input_Raw!$CX:$CX),"")</f>
        <v>2.800439208333334</v>
      </c>
      <c r="J42" s="189">
        <f>IFERROR(_xlfn.XLOOKUP($A42,Input_Raw!$A:$A,Input_Raw!$CZ:$CZ),"")</f>
        <v>1.5419629333333338</v>
      </c>
      <c r="K42" s="190">
        <f>IFERROR(_xlfn.XLOOKUP($A42,Input_Raw!$A:$A,Input_Raw!$DB:$DB),"")</f>
        <v>27.184364197956683</v>
      </c>
      <c r="L42" s="190">
        <f>IFERROR(_xlfn.XLOOKUP($A42,Input_Raw!$A:$A,Input_Raw!$DC:$DC),"")</f>
        <v>36.659014327589929</v>
      </c>
      <c r="M42" s="189">
        <f>IFERROR(_xlfn.XLOOKUP($A42,Input_Raw!$A:$A,Input_Raw!$DF:$DF),"")</f>
        <v>0.76960090907000667</v>
      </c>
      <c r="N42" s="189">
        <f>IFERROR(_xlfn.XLOOKUP($A42,Input_Raw!$A:$A,Input_Raw!$DG:$DG),"")</f>
        <v>1.9379999999999999</v>
      </c>
      <c r="O42" s="219">
        <f>IFERROR(1-(SUMIF(Plant_BD!$B:$B,$A42,Plant_BD!$AL:$AL)/($AA42+SUMIF(Plant_BD!$B:$B,$A42,Plant_BD!$AL:$AL))),"")</f>
        <v>1</v>
      </c>
      <c r="P42" s="219"/>
      <c r="Q42" s="220">
        <f>IFERROR(1-(SUMIF(Grid_BD!$B:$B,$A42,Grid_BD!$V:$V)/($AA42+SUMIF(Grid_BD!$B:$B,$A42,Grid_BD!$V:$V))),"")</f>
        <v>1</v>
      </c>
      <c r="R42" s="219">
        <f>IFERROR(1-(SUMIF(Grid_BD!$B:$B,$A42,Grid_BD!$V:$V)/($AA42+SUMIF(Grid_BD!$B:$B,$A42,Grid_BD!$V:$V))),"")</f>
        <v>1</v>
      </c>
      <c r="S42" s="9"/>
      <c r="T42" s="220"/>
      <c r="U42" s="221">
        <f t="shared" si="6"/>
        <v>0.94456226056174419</v>
      </c>
      <c r="V42" s="221" t="str">
        <f>IFERROR(_xlfn.XLOOKUP($A42,Input_Raw!$A:$A,Input_Raw!$FG:$FG),"")</f>
        <v/>
      </c>
      <c r="W42" s="222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78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22">
        <f>IFERROR(_xlfn.XLOOKUP($D42,'Modelling New'!$D:$D,'Modelling New'!O:O),"")</f>
        <v>0.806597995656121</v>
      </c>
      <c r="AF42" s="222">
        <f>IFERROR(_xlfn.XLOOKUP($D42,'Modelling New'!$D:$D,'Modelling New'!W:W),"")</f>
        <v>0.23157168262385408</v>
      </c>
      <c r="AG42" s="222">
        <f>IFERROR(_xlfn.XLOOKUP($D42,'Modelling New'!$D:$D,'Modelling New'!AE:AE),"")</f>
        <v>0.995</v>
      </c>
      <c r="AH42" s="222">
        <f>IFERROR(_xlfn.XLOOKUP($D42,'Modelling New'!$D:$D,'Modelling New'!AF:AF),"")</f>
        <v>0.995</v>
      </c>
      <c r="AI42" s="9"/>
      <c r="AJ42" s="9"/>
      <c r="AK42" s="245"/>
      <c r="AL42" s="245"/>
      <c r="AM42" s="245"/>
      <c r="AN42" s="219"/>
      <c r="AO42" s="222"/>
      <c r="AP42" s="222"/>
      <c r="AQ42" s="222"/>
      <c r="AR42" s="223">
        <f>_xlfn.XLOOKUP(D42,'Modelling New'!$D:$D,'Modelling New'!$N:$N)</f>
        <v>130</v>
      </c>
      <c r="AS42" s="223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18">
        <f>Table13[[#This Row],[Date]]-DAY(Table13[[#This Row],[Date]])+1</f>
        <v>45778</v>
      </c>
      <c r="E43" s="9">
        <f t="shared" si="5"/>
        <v>31</v>
      </c>
      <c r="F43" s="188">
        <f>IFERROR(_xlfn.XLOOKUP($A43,Input_Raw!$A:$A,Input_Raw!$FC:$FC),"")</f>
        <v>12.333333333333336</v>
      </c>
      <c r="G43" s="178">
        <f>IFERROR(_xlfn.XLOOKUP($A43,Input_Raw!$A:$A,Input_Raw!$CY:$CY),"")</f>
        <v>6.4970219583333346</v>
      </c>
      <c r="H43" s="178">
        <f>IFERROR(_xlfn.XLOOKUP($A43,Input_Raw!$A:$A,Input_Raw!$DA:$DA),"")</f>
        <v>3.7762322500000023</v>
      </c>
      <c r="I43" s="178">
        <f>IFERROR(_xlfn.XLOOKUP($A43,Input_Raw!$A:$A,Input_Raw!$CX:$CX),"")</f>
        <v>6.3926259250000053</v>
      </c>
      <c r="J43" s="178">
        <f>IFERROR(_xlfn.XLOOKUP($A43,Input_Raw!$A:$A,Input_Raw!$CZ:$CZ),"")</f>
        <v>0.91157143333333357</v>
      </c>
      <c r="K43" s="190">
        <f>IFERROR(_xlfn.XLOOKUP($A43,Input_Raw!$A:$A,Input_Raw!$DB:$DB),"")</f>
        <v>30.239728554534416</v>
      </c>
      <c r="L43" s="190">
        <f>IFERROR(_xlfn.XLOOKUP($A43,Input_Raw!$A:$A,Input_Raw!$DC:$DC),"")</f>
        <v>44.218970984930365</v>
      </c>
      <c r="M43" s="189">
        <f>IFERROR(_xlfn.XLOOKUP($A43,Input_Raw!$A:$A,Input_Raw!$DF:$DF),"")</f>
        <v>0.9026263978240302</v>
      </c>
      <c r="N43" s="189">
        <f>IFERROR(_xlfn.XLOOKUP($A43,Input_Raw!$A:$A,Input_Raw!$DG:$DG),"")</f>
        <v>2.6654999999999998</v>
      </c>
      <c r="O43" s="219">
        <f>IFERROR(1-(SUMIF(Plant_BD!$B:$B,$A43,Plant_BD!$AL:$AL)/($AA43+SUMIF(Plant_BD!$B:$B,$A43,Plant_BD!$AL:$AL))),"")</f>
        <v>0.95492549670953808</v>
      </c>
      <c r="P43" s="219"/>
      <c r="Q43" s="220">
        <f>IFERROR(1-(SUMIF(Grid_BD!$B:$B,$A43,Grid_BD!$V:$V)/($AA43+SUMIF(Grid_BD!$B:$B,$A43,Grid_BD!$V:$V))),"")</f>
        <v>1</v>
      </c>
      <c r="R43" s="219">
        <f>IFERROR(1-(SUMIF(Grid_BD!$B:$B,$A43,Grid_BD!$V:$V)/($AA43+SUMIF(Grid_BD!$B:$B,$A43,Grid_BD!$V:$V))),"")</f>
        <v>1</v>
      </c>
      <c r="S43" s="9"/>
      <c r="T43" s="220"/>
      <c r="U43" s="221">
        <f t="shared" si="6"/>
        <v>0.78505995086747216</v>
      </c>
      <c r="V43" s="221" t="str">
        <f>IFERROR(_xlfn.XLOOKUP($A43,Input_Raw!$A:$A,Input_Raw!$FG:$FG),"")</f>
        <v/>
      </c>
      <c r="W43" s="222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78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22">
        <f>IFERROR(_xlfn.XLOOKUP($D43,'Modelling New'!$D:$D,'Modelling New'!O:O),"")</f>
        <v>0.806597995656121</v>
      </c>
      <c r="AF43" s="222">
        <f>IFERROR(_xlfn.XLOOKUP($D43,'Modelling New'!$D:$D,'Modelling New'!W:W),"")</f>
        <v>0.23157168262385408</v>
      </c>
      <c r="AG43" s="222">
        <f>IFERROR(_xlfn.XLOOKUP($D43,'Modelling New'!$D:$D,'Modelling New'!AE:AE),"")</f>
        <v>0.995</v>
      </c>
      <c r="AH43" s="222">
        <f>IFERROR(_xlfn.XLOOKUP($D43,'Modelling New'!$D:$D,'Modelling New'!AF:AF),"")</f>
        <v>0.995</v>
      </c>
      <c r="AI43" s="9"/>
      <c r="AJ43" s="9"/>
      <c r="AK43" s="245"/>
      <c r="AL43" s="245"/>
      <c r="AM43" s="245"/>
      <c r="AN43" s="219"/>
      <c r="AO43" s="222"/>
      <c r="AP43" s="222"/>
      <c r="AQ43" s="222"/>
      <c r="AR43" s="223">
        <f>_xlfn.XLOOKUP(D43,'Modelling New'!$D:$D,'Modelling New'!$N:$N)</f>
        <v>130</v>
      </c>
      <c r="AS43" s="223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18">
        <f>Table13[[#This Row],[Date]]-DAY(Table13[[#This Row],[Date]])+1</f>
        <v>45778</v>
      </c>
      <c r="E44" s="9">
        <f t="shared" si="5"/>
        <v>31</v>
      </c>
      <c r="F44" s="188">
        <f>IFERROR(_xlfn.XLOOKUP($A44,Input_Raw!$A:$A,Input_Raw!$FC:$FC),"")</f>
        <v>12.4</v>
      </c>
      <c r="G44" s="189">
        <f>IFERROR(_xlfn.XLOOKUP($A44,Input_Raw!$A:$A,Input_Raw!$CY:$CY),"")</f>
        <v>6.6508540749999998</v>
      </c>
      <c r="H44" s="189">
        <f>IFERROR(_xlfn.XLOOKUP($A44,Input_Raw!$A:$A,Input_Raw!$DA:$DA),"")</f>
        <v>1.2471075166666643</v>
      </c>
      <c r="I44" s="189">
        <f>IFERROR(_xlfn.XLOOKUP($A44,Input_Raw!$A:$A,Input_Raw!$CX:$CX),"")</f>
        <v>6.6142921249999969</v>
      </c>
      <c r="J44" s="189">
        <f>IFERROR(_xlfn.XLOOKUP($A44,Input_Raw!$A:$A,Input_Raw!$CZ:$CZ),"")</f>
        <v>0.93745178333333334</v>
      </c>
      <c r="K44" s="190">
        <f>IFERROR(_xlfn.XLOOKUP($A44,Input_Raw!$A:$A,Input_Raw!$DB:$DB),"")</f>
        <v>31.312185268101324</v>
      </c>
      <c r="L44" s="190">
        <f>IFERROR(_xlfn.XLOOKUP($A44,Input_Raw!$A:$A,Input_Raw!$DC:$DC),"")</f>
        <v>44.336283204661385</v>
      </c>
      <c r="M44" s="189">
        <f>IFERROR(_xlfn.XLOOKUP($A44,Input_Raw!$A:$A,Input_Raw!$DF:$DF),"")</f>
        <v>1.221730429097577</v>
      </c>
      <c r="N44" s="189">
        <f>IFERROR(_xlfn.XLOOKUP($A44,Input_Raw!$A:$A,Input_Raw!$DG:$DG),"")</f>
        <v>3.5745</v>
      </c>
      <c r="O44" s="219">
        <f>IFERROR(1-(SUMIF(Plant_BD!$B:$B,$A44,Plant_BD!$AL:$AL)/($AA44+SUMIF(Plant_BD!$B:$B,$A44,Plant_BD!$AL:$AL))),"")</f>
        <v>1</v>
      </c>
      <c r="P44" s="219"/>
      <c r="Q44" s="220">
        <f>IFERROR(1-(SUMIF(Grid_BD!$B:$B,$A44,Grid_BD!$V:$V)/($AA44+SUMIF(Grid_BD!$B:$B,$A44,Grid_BD!$V:$V))),"")</f>
        <v>1</v>
      </c>
      <c r="R44" s="219">
        <f>IFERROR(1-(SUMIF(Grid_BD!$B:$B,$A44,Grid_BD!$V:$V)/($AA44+SUMIF(Grid_BD!$B:$B,$A44,Grid_BD!$V:$V))),"")</f>
        <v>1</v>
      </c>
      <c r="S44" s="9"/>
      <c r="T44" s="220"/>
      <c r="U44" s="221">
        <f t="shared" si="6"/>
        <v>0.8248477207655458</v>
      </c>
      <c r="V44" s="221" t="str">
        <f>IFERROR(_xlfn.XLOOKUP($A44,Input_Raw!$A:$A,Input_Raw!$FG:$FG),"")</f>
        <v/>
      </c>
      <c r="W44" s="222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78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22">
        <f>IFERROR(_xlfn.XLOOKUP($D44,'Modelling New'!$D:$D,'Modelling New'!O:O),"")</f>
        <v>0.806597995656121</v>
      </c>
      <c r="AF44" s="222">
        <f>IFERROR(_xlfn.XLOOKUP($D44,'Modelling New'!$D:$D,'Modelling New'!W:W),"")</f>
        <v>0.23157168262385408</v>
      </c>
      <c r="AG44" s="222">
        <f>IFERROR(_xlfn.XLOOKUP($D44,'Modelling New'!$D:$D,'Modelling New'!AE:AE),"")</f>
        <v>0.995</v>
      </c>
      <c r="AH44" s="222">
        <f>IFERROR(_xlfn.XLOOKUP($D44,'Modelling New'!$D:$D,'Modelling New'!AF:AF),"")</f>
        <v>0.995</v>
      </c>
      <c r="AI44" s="9"/>
      <c r="AJ44" s="9"/>
      <c r="AK44" s="245"/>
      <c r="AL44" s="245"/>
      <c r="AM44" s="245"/>
      <c r="AN44" s="219"/>
      <c r="AO44" s="222"/>
      <c r="AP44" s="222"/>
      <c r="AQ44" s="222"/>
      <c r="AR44" s="223">
        <f>_xlfn.XLOOKUP(D44,'Modelling New'!$D:$D,'Modelling New'!$N:$N)</f>
        <v>130</v>
      </c>
      <c r="AS44" s="223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18">
        <f>Table13[[#This Row],[Date]]-DAY(Table13[[#This Row],[Date]])+1</f>
        <v>45778</v>
      </c>
      <c r="E45" s="9">
        <f t="shared" si="5"/>
        <v>31</v>
      </c>
      <c r="F45" s="188">
        <f>IFERROR(_xlfn.XLOOKUP($A45,Input_Raw!$A:$A,Input_Raw!$FC:$FC),"")</f>
        <v>12.4</v>
      </c>
      <c r="G45" s="178">
        <f>IFERROR(_xlfn.XLOOKUP($A45,Input_Raw!$A:$A,Input_Raw!$CY:$CY),"")</f>
        <v>5.0195781416666687</v>
      </c>
      <c r="H45" s="178">
        <f>IFERROR(_xlfn.XLOOKUP($A45,Input_Raw!$A:$A,Input_Raw!$DA:$DA),"")</f>
        <v>3.0195322750000018</v>
      </c>
      <c r="I45" s="178">
        <f>IFERROR(_xlfn.XLOOKUP($A45,Input_Raw!$A:$A,Input_Raw!$CX:$CX),"")</f>
        <v>5.0238358500000047</v>
      </c>
      <c r="J45" s="178">
        <f>IFERROR(_xlfn.XLOOKUP($A45,Input_Raw!$A:$A,Input_Raw!$CZ:$CZ),"")</f>
        <v>0.7255239499999997</v>
      </c>
      <c r="K45" s="190">
        <f>IFERROR(_xlfn.XLOOKUP($A45,Input_Raw!$A:$A,Input_Raw!$DB:$DB),"")</f>
        <v>30.529776591042271</v>
      </c>
      <c r="L45" s="190">
        <f>IFERROR(_xlfn.XLOOKUP($A45,Input_Raw!$A:$A,Input_Raw!$DC:$DC),"")</f>
        <v>42.362846176427553</v>
      </c>
      <c r="M45" s="189">
        <f>IFERROR(_xlfn.XLOOKUP($A45,Input_Raw!$A:$A,Input_Raw!$DF:$DF),"")</f>
        <v>0.9882698066722343</v>
      </c>
      <c r="N45" s="189">
        <f>IFERROR(_xlfn.XLOOKUP($A45,Input_Raw!$A:$A,Input_Raw!$DG:$DG),"")</f>
        <v>4.0949999999999998</v>
      </c>
      <c r="O45" s="219">
        <f>IFERROR(1-(SUMIF(Plant_BD!$B:$B,$A45,Plant_BD!$AL:$AL)/($AA45+SUMIF(Plant_BD!$B:$B,$A45,Plant_BD!$AL:$AL))),"")</f>
        <v>1</v>
      </c>
      <c r="P45" s="219"/>
      <c r="Q45" s="220">
        <f>IFERROR(1-(SUMIF(Grid_BD!$B:$B,$A45,Grid_BD!$V:$V)/($AA45+SUMIF(Grid_BD!$B:$B,$A45,Grid_BD!$V:$V))),"")</f>
        <v>1</v>
      </c>
      <c r="R45" s="219">
        <f>IFERROR(1-(SUMIF(Grid_BD!$B:$B,$A45,Grid_BD!$V:$V)/($AA45+SUMIF(Grid_BD!$B:$B,$A45,Grid_BD!$V:$V))),"")</f>
        <v>1</v>
      </c>
      <c r="S45" s="9"/>
      <c r="T45" s="220"/>
      <c r="U45" s="221">
        <f t="shared" si="6"/>
        <v>0.82955886537725221</v>
      </c>
      <c r="V45" s="221" t="str">
        <f>IFERROR(_xlfn.XLOOKUP($A45,Input_Raw!$A:$A,Input_Raw!$FG:$FG),"")</f>
        <v/>
      </c>
      <c r="W45" s="222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78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22">
        <f>IFERROR(_xlfn.XLOOKUP($D45,'Modelling New'!$D:$D,'Modelling New'!O:O),"")</f>
        <v>0.806597995656121</v>
      </c>
      <c r="AF45" s="222">
        <f>IFERROR(_xlfn.XLOOKUP($D45,'Modelling New'!$D:$D,'Modelling New'!W:W),"")</f>
        <v>0.23157168262385408</v>
      </c>
      <c r="AG45" s="222">
        <f>IFERROR(_xlfn.XLOOKUP($D45,'Modelling New'!$D:$D,'Modelling New'!AE:AE),"")</f>
        <v>0.995</v>
      </c>
      <c r="AH45" s="222">
        <f>IFERROR(_xlfn.XLOOKUP($D45,'Modelling New'!$D:$D,'Modelling New'!AF:AF),"")</f>
        <v>0.995</v>
      </c>
      <c r="AI45" s="9"/>
      <c r="AJ45" s="9"/>
      <c r="AK45" s="245"/>
      <c r="AL45" s="245"/>
      <c r="AM45" s="245"/>
      <c r="AN45" s="219"/>
      <c r="AO45" s="222"/>
      <c r="AP45" s="222"/>
      <c r="AQ45" s="222"/>
      <c r="AR45" s="223">
        <f>_xlfn.XLOOKUP(D45,'Modelling New'!$D:$D,'Modelling New'!$N:$N)</f>
        <v>130</v>
      </c>
      <c r="AS45" s="223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18">
        <f>Table13[[#This Row],[Date]]-DAY(Table13[[#This Row],[Date]])+1</f>
        <v>45778</v>
      </c>
      <c r="E46" s="9">
        <f t="shared" si="5"/>
        <v>31</v>
      </c>
      <c r="F46" s="188">
        <f>IFERROR(_xlfn.XLOOKUP($A46,Input_Raw!$A:$A,Input_Raw!$FC:$FC),"")</f>
        <v>12.4</v>
      </c>
      <c r="G46" s="189">
        <f>IFERROR(_xlfn.XLOOKUP($A46,Input_Raw!$A:$A,Input_Raw!$CY:$CY),"")</f>
        <v>5.0978526583333394</v>
      </c>
      <c r="H46" s="189">
        <f>IFERROR(_xlfn.XLOOKUP($A46,Input_Raw!$A:$A,Input_Raw!$DA:$DA),"")</f>
        <v>0.92995367500000037</v>
      </c>
      <c r="I46" s="189">
        <f>IFERROR(_xlfn.XLOOKUP($A46,Input_Raw!$A:$A,Input_Raw!$CX:$CX),"")</f>
        <v>5.1501863583333325</v>
      </c>
      <c r="J46" s="189">
        <f>IFERROR(_xlfn.XLOOKUP($A46,Input_Raw!$A:$A,Input_Raw!$CZ:$CZ),"")</f>
        <v>0.7325373666666678</v>
      </c>
      <c r="K46" s="190">
        <f>IFERROR(_xlfn.XLOOKUP($A46,Input_Raw!$A:$A,Input_Raw!$DB:$DB),"")</f>
        <v>30.746254753941777</v>
      </c>
      <c r="L46" s="190">
        <f>IFERROR(_xlfn.XLOOKUP($A46,Input_Raw!$A:$A,Input_Raw!$DC:$DC),"")</f>
        <v>42.617459495938824</v>
      </c>
      <c r="M46" s="189">
        <f>IFERROR(_xlfn.XLOOKUP($A46,Input_Raw!$A:$A,Input_Raw!$DF:$DF),"")</f>
        <v>1.2086206282847587</v>
      </c>
      <c r="N46" s="189">
        <f>IFERROR(_xlfn.XLOOKUP($A46,Input_Raw!$A:$A,Input_Raw!$DG:$DG),"")</f>
        <v>3.7679999999999998</v>
      </c>
      <c r="O46" s="219">
        <f>IFERROR(1-(SUMIF(Plant_BD!$B:$B,$A46,Plant_BD!$AL:$AL)/($AA46+SUMIF(Plant_BD!$B:$B,$A46,Plant_BD!$AL:$AL))),"")</f>
        <v>1</v>
      </c>
      <c r="P46" s="219"/>
      <c r="Q46" s="220">
        <f>IFERROR(1-(SUMIF(Grid_BD!$B:$B,$A46,Grid_BD!$V:$V)/($AA46+SUMIF(Grid_BD!$B:$B,$A46,Grid_BD!$V:$V))),"")</f>
        <v>1</v>
      </c>
      <c r="R46" s="219">
        <f>IFERROR(1-(SUMIF(Grid_BD!$B:$B,$A46,Grid_BD!$V:$V)/($AA46+SUMIF(Grid_BD!$B:$B,$A46,Grid_BD!$V:$V))),"")</f>
        <v>1</v>
      </c>
      <c r="S46" s="9"/>
      <c r="T46" s="220"/>
      <c r="U46" s="221">
        <f t="shared" si="6"/>
        <v>0.82860292085440945</v>
      </c>
      <c r="V46" s="221" t="str">
        <f>IFERROR(_xlfn.XLOOKUP($A46,Input_Raw!$A:$A,Input_Raw!$FG:$FG),"")</f>
        <v/>
      </c>
      <c r="W46" s="222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78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22">
        <f>IFERROR(_xlfn.XLOOKUP($D46,'Modelling New'!$D:$D,'Modelling New'!O:O),"")</f>
        <v>0.806597995656121</v>
      </c>
      <c r="AF46" s="222">
        <f>IFERROR(_xlfn.XLOOKUP($D46,'Modelling New'!$D:$D,'Modelling New'!W:W),"")</f>
        <v>0.23157168262385408</v>
      </c>
      <c r="AG46" s="222">
        <f>IFERROR(_xlfn.XLOOKUP($D46,'Modelling New'!$D:$D,'Modelling New'!AE:AE),"")</f>
        <v>0.995</v>
      </c>
      <c r="AH46" s="222">
        <f>IFERROR(_xlfn.XLOOKUP($D46,'Modelling New'!$D:$D,'Modelling New'!AF:AF),"")</f>
        <v>0.995</v>
      </c>
      <c r="AI46" s="9"/>
      <c r="AJ46" s="9"/>
      <c r="AK46" s="245"/>
      <c r="AL46" s="245"/>
      <c r="AM46" s="245"/>
      <c r="AN46" s="219"/>
      <c r="AO46" s="222"/>
      <c r="AP46" s="222"/>
      <c r="AQ46" s="222"/>
      <c r="AR46" s="223">
        <f>_xlfn.XLOOKUP(D46,'Modelling New'!$D:$D,'Modelling New'!$N:$N)</f>
        <v>130</v>
      </c>
      <c r="AS46" s="223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18">
        <f>Table13[[#This Row],[Date]]-DAY(Table13[[#This Row],[Date]])+1</f>
        <v>45778</v>
      </c>
      <c r="E47" s="9">
        <f t="shared" si="5"/>
        <v>31</v>
      </c>
      <c r="F47" s="188">
        <f>IFERROR(_xlfn.XLOOKUP($A47,Input_Raw!$A:$A,Input_Raw!$FC:$FC),"")</f>
        <v>12.4</v>
      </c>
      <c r="G47" s="178">
        <f>IFERROR(_xlfn.XLOOKUP($A47,Input_Raw!$A:$A,Input_Raw!$CY:$CY),"")</f>
        <v>3.4529891666666632</v>
      </c>
      <c r="H47" s="178">
        <f>IFERROR(_xlfn.XLOOKUP($A47,Input_Raw!$A:$A,Input_Raw!$DA:$DA),"")</f>
        <v>0.60197658333333337</v>
      </c>
      <c r="I47" s="178">
        <f>IFERROR(_xlfn.XLOOKUP($A47,Input_Raw!$A:$A,Input_Raw!$CX:$CX),"")</f>
        <v>3.3404308166666681</v>
      </c>
      <c r="J47" s="178">
        <f>IFERROR(_xlfn.XLOOKUP($A47,Input_Raw!$A:$A,Input_Raw!$CZ:$CZ),"")</f>
        <v>0.46789799166666673</v>
      </c>
      <c r="K47" s="190">
        <f>IFERROR(_xlfn.XLOOKUP($A47,Input_Raw!$A:$A,Input_Raw!$DB:$DB),"")</f>
        <v>30.387321987347043</v>
      </c>
      <c r="L47" s="190">
        <f>IFERROR(_xlfn.XLOOKUP($A47,Input_Raw!$A:$A,Input_Raw!$DC:$DC),"")</f>
        <v>40.300776878054343</v>
      </c>
      <c r="M47" s="189">
        <f>IFERROR(_xlfn.XLOOKUP($A47,Input_Raw!$A:$A,Input_Raw!$DF:$DF),"")</f>
        <v>1.1787962097965687</v>
      </c>
      <c r="N47" s="189">
        <f>IFERROR(_xlfn.XLOOKUP($A47,Input_Raw!$A:$A,Input_Raw!$DG:$DG),"")</f>
        <v>1.9893880952380951</v>
      </c>
      <c r="O47" s="219">
        <f>IFERROR(1-(SUMIF(Plant_BD!$B:$B,$A47,Plant_BD!$AL:$AL)/($AA47+SUMIF(Plant_BD!$B:$B,$A47,Plant_BD!$AL:$AL))),"")</f>
        <v>1</v>
      </c>
      <c r="P47" s="219"/>
      <c r="Q47" s="220">
        <f>IFERROR(1-(SUMIF(Grid_BD!$B:$B,$A47,Grid_BD!$V:$V)/($AA47+SUMIF(Grid_BD!$B:$B,$A47,Grid_BD!$V:$V))),"")</f>
        <v>1</v>
      </c>
      <c r="R47" s="219">
        <f>IFERROR(1-(SUMIF(Grid_BD!$B:$B,$A47,Grid_BD!$V:$V)/($AA47+SUMIF(Grid_BD!$B:$B,$A47,Grid_BD!$V:$V))),"")</f>
        <v>1</v>
      </c>
      <c r="S47" s="9"/>
      <c r="T47" s="220"/>
      <c r="U47" s="221">
        <f t="shared" si="6"/>
        <v>0.87031984878654323</v>
      </c>
      <c r="V47" s="221" t="str">
        <f>IFERROR(_xlfn.XLOOKUP($A47,Input_Raw!$A:$A,Input_Raw!$FG:$FG),"")</f>
        <v/>
      </c>
      <c r="W47" s="222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78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22">
        <f>IFERROR(_xlfn.XLOOKUP($D47,'Modelling New'!$D:$D,'Modelling New'!O:O),"")</f>
        <v>0.806597995656121</v>
      </c>
      <c r="AF47" s="222">
        <f>IFERROR(_xlfn.XLOOKUP($D47,'Modelling New'!$D:$D,'Modelling New'!W:W),"")</f>
        <v>0.23157168262385408</v>
      </c>
      <c r="AG47" s="222">
        <f>IFERROR(_xlfn.XLOOKUP($D47,'Modelling New'!$D:$D,'Modelling New'!AE:AE),"")</f>
        <v>0.995</v>
      </c>
      <c r="AH47" s="222">
        <f>IFERROR(_xlfn.XLOOKUP($D47,'Modelling New'!$D:$D,'Modelling New'!AF:AF),"")</f>
        <v>0.995</v>
      </c>
      <c r="AI47" s="9"/>
      <c r="AJ47" s="9"/>
      <c r="AK47" s="245"/>
      <c r="AL47" s="245"/>
      <c r="AM47" s="245"/>
      <c r="AN47" s="219"/>
      <c r="AO47" s="222"/>
      <c r="AP47" s="222"/>
      <c r="AQ47" s="222"/>
      <c r="AR47" s="223">
        <f>_xlfn.XLOOKUP(D47,'Modelling New'!$D:$D,'Modelling New'!$N:$N)</f>
        <v>130</v>
      </c>
      <c r="AS47" s="223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18">
        <f>Table13[[#This Row],[Date]]-DAY(Table13[[#This Row],[Date]])+1</f>
        <v>45778</v>
      </c>
      <c r="E48" s="9">
        <f t="shared" si="5"/>
        <v>31</v>
      </c>
      <c r="F48" s="188">
        <f>IFERROR(_xlfn.XLOOKUP($A48,Input_Raw!$A:$A,Input_Raw!$FC:$FC),"")</f>
        <v>12.4</v>
      </c>
      <c r="G48" s="189">
        <f>IFERROR(_xlfn.XLOOKUP($A48,Input_Raw!$A:$A,Input_Raw!$CY:$CY),"")</f>
        <v>4.5428257333333333</v>
      </c>
      <c r="H48" s="189">
        <f>IFERROR(_xlfn.XLOOKUP($A48,Input_Raw!$A:$A,Input_Raw!$DA:$DA),"")</f>
        <v>0.79799035833333287</v>
      </c>
      <c r="I48" s="189">
        <f>IFERROR(_xlfn.XLOOKUP($A48,Input_Raw!$A:$A,Input_Raw!$CX:$CX),"")</f>
        <v>4.3417617999999969</v>
      </c>
      <c r="J48" s="189">
        <f>IFERROR(_xlfn.XLOOKUP($A48,Input_Raw!$A:$A,Input_Raw!$CZ:$CZ),"")</f>
        <v>0.59314307499999952</v>
      </c>
      <c r="K48" s="190">
        <f>IFERROR(_xlfn.XLOOKUP($A48,Input_Raw!$A:$A,Input_Raw!$DB:$DB),"")</f>
        <v>31.381731924503079</v>
      </c>
      <c r="L48" s="190">
        <f>IFERROR(_xlfn.XLOOKUP($A48,Input_Raw!$A:$A,Input_Raw!$DC:$DC),"")</f>
        <v>42.756110977135386</v>
      </c>
      <c r="M48" s="189">
        <f>IFERROR(_xlfn.XLOOKUP($A48,Input_Raw!$A:$A,Input_Raw!$DF:$DF),"")</f>
        <v>1.2687451611558069</v>
      </c>
      <c r="N48" s="189">
        <f>IFERROR(_xlfn.XLOOKUP($A48,Input_Raw!$A:$A,Input_Raw!$DG:$DG),"")</f>
        <v>2.4630000000000001</v>
      </c>
      <c r="O48" s="219">
        <f>IFERROR(1-(SUMIF(Plant_BD!$B:$B,$A48,Plant_BD!$AL:$AL)/($AA48+SUMIF(Plant_BD!$B:$B,$A48,Plant_BD!$AL:$AL))),"")</f>
        <v>1</v>
      </c>
      <c r="P48" s="219"/>
      <c r="Q48" s="220">
        <f>IFERROR(1-(SUMIF(Grid_BD!$B:$B,$A48,Grid_BD!$V:$V)/($AA48+SUMIF(Grid_BD!$B:$B,$A48,Grid_BD!$V:$V))),"")</f>
        <v>1</v>
      </c>
      <c r="R48" s="219">
        <f>IFERROR(1-(SUMIF(Grid_BD!$B:$B,$A48,Grid_BD!$V:$V)/($AA48+SUMIF(Grid_BD!$B:$B,$A48,Grid_BD!$V:$V))),"")</f>
        <v>1</v>
      </c>
      <c r="S48" s="9"/>
      <c r="T48" s="220"/>
      <c r="U48" s="221">
        <f t="shared" si="6"/>
        <v>0.85126733576215363</v>
      </c>
      <c r="V48" s="221" t="str">
        <f>IFERROR(_xlfn.XLOOKUP($A48,Input_Raw!$A:$A,Input_Raw!$FG:$FG),"")</f>
        <v/>
      </c>
      <c r="W48" s="222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78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22">
        <f>IFERROR(_xlfn.XLOOKUP($D48,'Modelling New'!$D:$D,'Modelling New'!O:O),"")</f>
        <v>0.806597995656121</v>
      </c>
      <c r="AF48" s="222">
        <f>IFERROR(_xlfn.XLOOKUP($D48,'Modelling New'!$D:$D,'Modelling New'!W:W),"")</f>
        <v>0.23157168262385408</v>
      </c>
      <c r="AG48" s="222">
        <f>IFERROR(_xlfn.XLOOKUP($D48,'Modelling New'!$D:$D,'Modelling New'!AE:AE),"")</f>
        <v>0.995</v>
      </c>
      <c r="AH48" s="222">
        <f>IFERROR(_xlfn.XLOOKUP($D48,'Modelling New'!$D:$D,'Modelling New'!AF:AF),"")</f>
        <v>0.995</v>
      </c>
      <c r="AI48" s="9"/>
      <c r="AJ48" s="9"/>
      <c r="AK48" s="245"/>
      <c r="AL48" s="245"/>
      <c r="AM48" s="245"/>
      <c r="AN48" s="219"/>
      <c r="AO48" s="222"/>
      <c r="AP48" s="222"/>
      <c r="AQ48" s="222"/>
      <c r="AR48" s="223">
        <f>_xlfn.XLOOKUP(D48,'Modelling New'!$D:$D,'Modelling New'!$N:$N)</f>
        <v>130</v>
      </c>
      <c r="AS48" s="223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18">
        <f>Table13[[#This Row],[Date]]-DAY(Table13[[#This Row],[Date]])+1</f>
        <v>45778</v>
      </c>
      <c r="E49" s="9">
        <f t="shared" si="5"/>
        <v>31</v>
      </c>
      <c r="F49" s="188">
        <f>IFERROR(_xlfn.XLOOKUP($A49,Input_Raw!$A:$A,Input_Raw!$FC:$FC),"")</f>
        <v>12.9</v>
      </c>
      <c r="G49" s="178">
        <f>IFERROR(_xlfn.XLOOKUP($A49,Input_Raw!$A:$A,Input_Raw!$CY:$CY),"")</f>
        <v>4.2141304166666664</v>
      </c>
      <c r="H49" s="178">
        <f>IFERROR(_xlfn.XLOOKUP($A49,Input_Raw!$A:$A,Input_Raw!$DA:$DA),"")</f>
        <v>0.75503757499999935</v>
      </c>
      <c r="I49" s="178">
        <f>IFERROR(_xlfn.XLOOKUP($A49,Input_Raw!$A:$A,Input_Raw!$CX:$CX),"")</f>
        <v>4.1260593833333328</v>
      </c>
      <c r="J49" s="178">
        <f>IFERROR(_xlfn.XLOOKUP($A49,Input_Raw!$A:$A,Input_Raw!$CZ:$CZ),"")</f>
        <v>0.5693108499999997</v>
      </c>
      <c r="K49" s="190">
        <f>IFERROR(_xlfn.XLOOKUP($A49,Input_Raw!$A:$A,Input_Raw!$DB:$DB),"")</f>
        <v>29.971046001175324</v>
      </c>
      <c r="L49" s="190">
        <f>IFERROR(_xlfn.XLOOKUP($A49,Input_Raw!$A:$A,Input_Raw!$DC:$DC),"")</f>
        <v>40.712753917439265</v>
      </c>
      <c r="M49" s="189">
        <f>IFERROR(_xlfn.XLOOKUP($A49,Input_Raw!$A:$A,Input_Raw!$DF:$DF),"")</f>
        <v>1.3424417482979161</v>
      </c>
      <c r="N49" s="189">
        <f>IFERROR(_xlfn.XLOOKUP($A49,Input_Raw!$A:$A,Input_Raw!$DG:$DG),"")</f>
        <v>5.7359999999999998</v>
      </c>
      <c r="O49" s="219">
        <f>IFERROR(1-(SUMIF(Plant_BD!$B:$B,$A49,Plant_BD!$AL:$AL)/($AA49+SUMIF(Plant_BD!$B:$B,$A49,Plant_BD!$AL:$AL))),"")</f>
        <v>1</v>
      </c>
      <c r="P49" s="219"/>
      <c r="Q49" s="220">
        <f>IFERROR(1-(SUMIF(Grid_BD!$B:$B,$A49,Grid_BD!$V:$V)/($AA49+SUMIF(Grid_BD!$B:$B,$A49,Grid_BD!$V:$V))),"")</f>
        <v>1</v>
      </c>
      <c r="R49" s="219">
        <f>IFERROR(1-(SUMIF(Grid_BD!$B:$B,$A49,Grid_BD!$V:$V)/($AA49+SUMIF(Grid_BD!$B:$B,$A49,Grid_BD!$V:$V))),"")</f>
        <v>1</v>
      </c>
      <c r="S49" s="9"/>
      <c r="T49" s="220"/>
      <c r="U49" s="221">
        <f t="shared" si="6"/>
        <v>0.83255173413469064</v>
      </c>
      <c r="V49" s="221" t="str">
        <f>IFERROR(_xlfn.XLOOKUP($A49,Input_Raw!$A:$A,Input_Raw!$FG:$FG),"")</f>
        <v/>
      </c>
      <c r="W49" s="222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78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22">
        <f>IFERROR(_xlfn.XLOOKUP($D49,'Modelling New'!$D:$D,'Modelling New'!O:O),"")</f>
        <v>0.806597995656121</v>
      </c>
      <c r="AF49" s="222">
        <f>IFERROR(_xlfn.XLOOKUP($D49,'Modelling New'!$D:$D,'Modelling New'!W:W),"")</f>
        <v>0.23157168262385408</v>
      </c>
      <c r="AG49" s="222">
        <f>IFERROR(_xlfn.XLOOKUP($D49,'Modelling New'!$D:$D,'Modelling New'!AE:AE),"")</f>
        <v>0.995</v>
      </c>
      <c r="AH49" s="222">
        <f>IFERROR(_xlfn.XLOOKUP($D49,'Modelling New'!$D:$D,'Modelling New'!AF:AF),"")</f>
        <v>0.995</v>
      </c>
      <c r="AI49" s="9"/>
      <c r="AJ49" s="9"/>
      <c r="AK49" s="245"/>
      <c r="AL49" s="245"/>
      <c r="AM49" s="245"/>
      <c r="AN49" s="219"/>
      <c r="AO49" s="222"/>
      <c r="AP49" s="222"/>
      <c r="AQ49" s="222"/>
      <c r="AR49" s="223">
        <f>_xlfn.XLOOKUP(D49,'Modelling New'!$D:$D,'Modelling New'!$N:$N)</f>
        <v>130</v>
      </c>
      <c r="AS49" s="223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18">
        <f>Table13[[#This Row],[Date]]-DAY(Table13[[#This Row],[Date]])+1</f>
        <v>45778</v>
      </c>
      <c r="E50" s="9">
        <f t="shared" si="5"/>
        <v>31</v>
      </c>
      <c r="F50" s="188">
        <f>IFERROR(_xlfn.XLOOKUP($A50,Input_Raw!$A:$A,Input_Raw!$FC:$FC),"")</f>
        <v>12.9</v>
      </c>
      <c r="G50" s="189">
        <f>IFERROR(_xlfn.XLOOKUP($A50,Input_Raw!$A:$A,Input_Raw!$CY:$CY),"")</f>
        <v>4.7998345249999925</v>
      </c>
      <c r="H50" s="189">
        <f>IFERROR(_xlfn.XLOOKUP($A50,Input_Raw!$A:$A,Input_Raw!$DA:$DA),"")</f>
        <v>0.72242025833283319</v>
      </c>
      <c r="I50" s="189">
        <f>IFERROR(_xlfn.XLOOKUP($A50,Input_Raw!$A:$A,Input_Raw!$CX:$CX),"")</f>
        <v>4.7411628333333358</v>
      </c>
      <c r="J50" s="189">
        <f>IFERROR(_xlfn.XLOOKUP($A50,Input_Raw!$A:$A,Input_Raw!$CZ:$CZ),"")</f>
        <v>0.63962021666666635</v>
      </c>
      <c r="K50" s="190">
        <f>IFERROR(_xlfn.XLOOKUP($A50,Input_Raw!$A:$A,Input_Raw!$DB:$DB),"")</f>
        <v>29.74551437544234</v>
      </c>
      <c r="L50" s="190">
        <f>IFERROR(_xlfn.XLOOKUP($A50,Input_Raw!$A:$A,Input_Raw!$DC:$DC),"")</f>
        <v>40.682402419497471</v>
      </c>
      <c r="M50" s="189">
        <f>IFERROR(_xlfn.XLOOKUP($A50,Input_Raw!$A:$A,Input_Raw!$DF:$DF),"")</f>
        <v>1.2140760483014852</v>
      </c>
      <c r="N50" s="189">
        <f>IFERROR(_xlfn.XLOOKUP($A50,Input_Raw!$A:$A,Input_Raw!$DG:$DG),"")</f>
        <v>4.6814999999999998</v>
      </c>
      <c r="O50" s="219">
        <f>IFERROR(1-(SUMIF(Plant_BD!$B:$B,$A50,Plant_BD!$AL:$AL)/($AA50+SUMIF(Plant_BD!$B:$B,$A50,Plant_BD!$AL:$AL))),"")</f>
        <v>0.97498227075860455</v>
      </c>
      <c r="P50" s="219"/>
      <c r="Q50" s="220">
        <f>IFERROR(1-(SUMIF(Grid_BD!$B:$B,$A50,Grid_BD!$V:$V)/($AA50+SUMIF(Grid_BD!$B:$B,$A50,Grid_BD!$V:$V))),"")</f>
        <v>1</v>
      </c>
      <c r="R50" s="219">
        <f>IFERROR(1-(SUMIF(Grid_BD!$B:$B,$A50,Grid_BD!$V:$V)/($AA50+SUMIF(Grid_BD!$B:$B,$A50,Grid_BD!$V:$V))),"")</f>
        <v>1</v>
      </c>
      <c r="S50" s="9"/>
      <c r="T50" s="220"/>
      <c r="U50" s="221">
        <f t="shared" si="6"/>
        <v>0.84056660738921651</v>
      </c>
      <c r="V50" s="221" t="str">
        <f>IFERROR(_xlfn.XLOOKUP($A50,Input_Raw!$A:$A,Input_Raw!$FG:$FG),"")</f>
        <v/>
      </c>
      <c r="W50" s="222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78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22">
        <f>IFERROR(_xlfn.XLOOKUP($D50,'Modelling New'!$D:$D,'Modelling New'!O:O),"")</f>
        <v>0.806597995656121</v>
      </c>
      <c r="AF50" s="222">
        <f>IFERROR(_xlfn.XLOOKUP($D50,'Modelling New'!$D:$D,'Modelling New'!W:W),"")</f>
        <v>0.23157168262385408</v>
      </c>
      <c r="AG50" s="222">
        <f>IFERROR(_xlfn.XLOOKUP($D50,'Modelling New'!$D:$D,'Modelling New'!AE:AE),"")</f>
        <v>0.995</v>
      </c>
      <c r="AH50" s="222">
        <f>IFERROR(_xlfn.XLOOKUP($D50,'Modelling New'!$D:$D,'Modelling New'!AF:AF),"")</f>
        <v>0.995</v>
      </c>
      <c r="AI50" s="9"/>
      <c r="AJ50" s="9"/>
      <c r="AK50" s="245"/>
      <c r="AL50" s="245"/>
      <c r="AM50" s="245"/>
      <c r="AN50" s="219"/>
      <c r="AO50" s="222"/>
      <c r="AP50" s="222"/>
      <c r="AQ50" s="222"/>
      <c r="AR50" s="223">
        <f>_xlfn.XLOOKUP(D50,'Modelling New'!$D:$D,'Modelling New'!$N:$N)</f>
        <v>130</v>
      </c>
      <c r="AS50" s="223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18">
        <f>Table13[[#This Row],[Date]]-DAY(Table13[[#This Row],[Date]])+1</f>
        <v>45778</v>
      </c>
      <c r="E51" s="9">
        <f t="shared" si="5"/>
        <v>31</v>
      </c>
      <c r="F51" s="188">
        <f>IFERROR(_xlfn.XLOOKUP($A51,Input_Raw!$A:$A,Input_Raw!$FC:$FC),"")</f>
        <v>12.9</v>
      </c>
      <c r="G51" s="178">
        <f>IFERROR(_xlfn.XLOOKUP($A51,Input_Raw!$A:$A,Input_Raw!$CY:$CY),"")</f>
        <v>4.5853345249999897</v>
      </c>
      <c r="H51" s="178">
        <f>IFERROR(_xlfn.XLOOKUP($A51,Input_Raw!$A:$A,Input_Raw!$DA:$DA),"")</f>
        <v>0.66042025833283291</v>
      </c>
      <c r="I51" s="178">
        <f>IFERROR(_xlfn.XLOOKUP($A51,Input_Raw!$A:$A,Input_Raw!$CX:$CX),"")</f>
        <v>4.3351628333333352</v>
      </c>
      <c r="J51" s="178">
        <f>IFERROR(_xlfn.XLOOKUP($A51,Input_Raw!$A:$A,Input_Raw!$CZ:$CZ),"")</f>
        <v>0.57112021666666646</v>
      </c>
      <c r="K51" s="190">
        <f>IFERROR(_xlfn.XLOOKUP($A51,Input_Raw!$A:$A,Input_Raw!$DB:$DB),"")</f>
        <v>29.745014375442349</v>
      </c>
      <c r="L51" s="190">
        <f>IFERROR(_xlfn.XLOOKUP($A51,Input_Raw!$A:$A,Input_Raw!$DC:$DC),"")</f>
        <v>40.640402419497448</v>
      </c>
      <c r="M51" s="189">
        <f>IFERROR(_xlfn.XLOOKUP($A51,Input_Raw!$A:$A,Input_Raw!$DF:$DF),"")</f>
        <v>1.2005760483014849</v>
      </c>
      <c r="N51" s="189">
        <f>IFERROR(_xlfn.XLOOKUP($A51,Input_Raw!$A:$A,Input_Raw!$DG:$DG),"")</f>
        <v>4.58</v>
      </c>
      <c r="O51" s="219">
        <f>IFERROR(1-(SUMIF(Plant_BD!$B:$B,$A51,Plant_BD!$AL:$AL)/($AA51+SUMIF(Plant_BD!$B:$B,$A51,Plant_BD!$AL:$AL))),"")</f>
        <v>1</v>
      </c>
      <c r="P51" s="219"/>
      <c r="Q51" s="220">
        <f>IFERROR(1-(SUMIF(Grid_BD!$B:$B,$A51,Grid_BD!$V:$V)/($AA51+SUMIF(Grid_BD!$B:$B,$A51,Grid_BD!$V:$V))),"")</f>
        <v>1</v>
      </c>
      <c r="R51" s="219">
        <f>IFERROR(1-(SUMIF(Grid_BD!$B:$B,$A51,Grid_BD!$V:$V)/($AA51+SUMIF(Grid_BD!$B:$B,$A51,Grid_BD!$V:$V))),"")</f>
        <v>1</v>
      </c>
      <c r="S51" s="9"/>
      <c r="T51" s="220"/>
      <c r="U51" s="221">
        <f t="shared" si="6"/>
        <v>1.1995907080225623</v>
      </c>
      <c r="V51" s="221" t="str">
        <f>IFERROR(_xlfn.XLOOKUP($A51,Input_Raw!$A:$A,Input_Raw!$FG:$FG),"")</f>
        <v/>
      </c>
      <c r="W51" s="222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78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22">
        <f>IFERROR(_xlfn.XLOOKUP($D51,'Modelling New'!$D:$D,'Modelling New'!O:O),"")</f>
        <v>0.806597995656121</v>
      </c>
      <c r="AF51" s="222">
        <f>IFERROR(_xlfn.XLOOKUP($D51,'Modelling New'!$D:$D,'Modelling New'!W:W),"")</f>
        <v>0.23157168262385408</v>
      </c>
      <c r="AG51" s="222">
        <f>IFERROR(_xlfn.XLOOKUP($D51,'Modelling New'!$D:$D,'Modelling New'!AE:AE),"")</f>
        <v>0.995</v>
      </c>
      <c r="AH51" s="222">
        <f>IFERROR(_xlfn.XLOOKUP($D51,'Modelling New'!$D:$D,'Modelling New'!AF:AF),"")</f>
        <v>0.995</v>
      </c>
      <c r="AI51" s="9"/>
      <c r="AJ51" s="9"/>
      <c r="AK51" s="245"/>
      <c r="AL51" s="245"/>
      <c r="AM51" s="245"/>
      <c r="AN51" s="219"/>
      <c r="AO51" s="222"/>
      <c r="AP51" s="222"/>
      <c r="AQ51" s="222"/>
      <c r="AR51" s="223">
        <f>_xlfn.XLOOKUP(D51,'Modelling New'!$D:$D,'Modelling New'!$N:$N)</f>
        <v>130</v>
      </c>
      <c r="AS51" s="223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18">
        <f>Table13[[#This Row],[Date]]-DAY(Table13[[#This Row],[Date]])+1</f>
        <v>45778</v>
      </c>
      <c r="E52" s="9">
        <f t="shared" si="5"/>
        <v>31</v>
      </c>
      <c r="F52" s="188">
        <f>IFERROR(_xlfn.XLOOKUP($A52,Input_Raw!$A:$A,Input_Raw!$FC:$FC),"")</f>
        <v>12.9</v>
      </c>
      <c r="G52" s="189">
        <f>IFERROR(_xlfn.XLOOKUP($A52,Input_Raw!$A:$A,Input_Raw!$CY:$CY),"")</f>
        <v>5.8417184000000013</v>
      </c>
      <c r="H52" s="189">
        <f>IFERROR(_xlfn.XLOOKUP($A52,Input_Raw!$A:$A,Input_Raw!$DA:$DA),"")</f>
        <v>1.0630442583333319</v>
      </c>
      <c r="I52" s="189">
        <f>IFERROR(_xlfn.XLOOKUP($A52,Input_Raw!$A:$A,Input_Raw!$CX:$CX),"")</f>
        <v>5.7215290083333281</v>
      </c>
      <c r="J52" s="189">
        <f>IFERROR(_xlfn.XLOOKUP($A52,Input_Raw!$A:$A,Input_Raw!$CZ:$CZ),"")</f>
        <v>0.80572659166666649</v>
      </c>
      <c r="K52" s="190">
        <f>IFERROR(_xlfn.XLOOKUP($A52,Input_Raw!$A:$A,Input_Raw!$DB:$DB),"")</f>
        <v>30.909737474224279</v>
      </c>
      <c r="L52" s="190">
        <f>IFERROR(_xlfn.XLOOKUP($A52,Input_Raw!$A:$A,Input_Raw!$DC:$DC),"")</f>
        <v>44.789630650408462</v>
      </c>
      <c r="M52" s="189">
        <f>IFERROR(_xlfn.XLOOKUP($A52,Input_Raw!$A:$A,Input_Raw!$DF:$DF),"")</f>
        <v>1.3010270344375765</v>
      </c>
      <c r="N52" s="189">
        <f>IFERROR(_xlfn.XLOOKUP($A52,Input_Raw!$A:$A,Input_Raw!$DG:$DG),"")</f>
        <v>6.1890000000000001</v>
      </c>
      <c r="O52" s="219">
        <f>IFERROR(1-(SUMIF(Plant_BD!$B:$B,$A52,Plant_BD!$AL:$AL)/($AA52+SUMIF(Plant_BD!$B:$B,$A52,Plant_BD!$AL:$AL))),"")</f>
        <v>0.99131217890166734</v>
      </c>
      <c r="P52" s="219"/>
      <c r="Q52" s="220">
        <f>IFERROR(1-(SUMIF(Grid_BD!$B:$B,$A52,Grid_BD!$V:$V)/($AA52+SUMIF(Grid_BD!$B:$B,$A52,Grid_BD!$V:$V))),"")</f>
        <v>1</v>
      </c>
      <c r="R52" s="219">
        <f>IFERROR(1-(SUMIF(Grid_BD!$B:$B,$A52,Grid_BD!$V:$V)/($AA52+SUMIF(Grid_BD!$B:$B,$A52,Grid_BD!$V:$V))),"")</f>
        <v>1</v>
      </c>
      <c r="S52" s="9"/>
      <c r="T52" s="220"/>
      <c r="U52" s="221">
        <f t="shared" si="6"/>
        <v>0.87370829740446387</v>
      </c>
      <c r="V52" s="221" t="str">
        <f>IFERROR(_xlfn.XLOOKUP($A52,Input_Raw!$A:$A,Input_Raw!$FG:$FG),"")</f>
        <v/>
      </c>
      <c r="W52" s="222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78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22">
        <f>IFERROR(_xlfn.XLOOKUP($D52,'Modelling New'!$D:$D,'Modelling New'!O:O),"")</f>
        <v>0.806597995656121</v>
      </c>
      <c r="AF52" s="222">
        <f>IFERROR(_xlfn.XLOOKUP($D52,'Modelling New'!$D:$D,'Modelling New'!W:W),"")</f>
        <v>0.23157168262385408</v>
      </c>
      <c r="AG52" s="222">
        <f>IFERROR(_xlfn.XLOOKUP($D52,'Modelling New'!$D:$D,'Modelling New'!AE:AE),"")</f>
        <v>0.995</v>
      </c>
      <c r="AH52" s="222">
        <f>IFERROR(_xlfn.XLOOKUP($D52,'Modelling New'!$D:$D,'Modelling New'!AF:AF),"")</f>
        <v>0.995</v>
      </c>
      <c r="AI52" s="9"/>
      <c r="AJ52" s="9"/>
      <c r="AK52" s="245"/>
      <c r="AL52" s="245"/>
      <c r="AM52" s="245"/>
      <c r="AN52" s="219"/>
      <c r="AO52" s="222"/>
      <c r="AP52" s="222"/>
      <c r="AQ52" s="222"/>
      <c r="AR52" s="223">
        <f>_xlfn.XLOOKUP(D52,'Modelling New'!$D:$D,'Modelling New'!$N:$N)</f>
        <v>130</v>
      </c>
      <c r="AS52" s="223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18">
        <f>Table13[[#This Row],[Date]]-DAY(Table13[[#This Row],[Date]])+1</f>
        <v>45778</v>
      </c>
      <c r="E53" s="9">
        <f t="shared" si="5"/>
        <v>31</v>
      </c>
      <c r="F53" s="188">
        <f>IFERROR(_xlfn.XLOOKUP($A53,Input_Raw!$A:$A,Input_Raw!$FC:$FC),"")</f>
        <v>12.9</v>
      </c>
      <c r="G53" s="178">
        <f>IFERROR(_xlfn.XLOOKUP($A53,Input_Raw!$A:$A,Input_Raw!$CY:$CY),"")</f>
        <v>5.4376280416666631</v>
      </c>
      <c r="H53" s="178">
        <f>IFERROR(_xlfn.XLOOKUP($A53,Input_Raw!$A:$A,Input_Raw!$DA:$DA),"")</f>
        <v>0.97585424166666601</v>
      </c>
      <c r="I53" s="178">
        <f>IFERROR(_xlfn.XLOOKUP($A53,Input_Raw!$A:$A,Input_Raw!$CX:$CX),"")</f>
        <v>5.3823629666666601</v>
      </c>
      <c r="J53" s="178">
        <f>IFERROR(_xlfn.XLOOKUP($A53,Input_Raw!$A:$A,Input_Raw!$CZ:$CZ),"")</f>
        <v>0.73666378333333382</v>
      </c>
      <c r="K53" s="190">
        <f>IFERROR(_xlfn.XLOOKUP($A53,Input_Raw!$A:$A,Input_Raw!$DB:$DB),"")</f>
        <v>31.407776614500797</v>
      </c>
      <c r="L53" s="190">
        <f>IFERROR(_xlfn.XLOOKUP($A53,Input_Raw!$A:$A,Input_Raw!$DC:$DC),"")</f>
        <v>44.880390433424921</v>
      </c>
      <c r="M53" s="189">
        <f>IFERROR(_xlfn.XLOOKUP($A53,Input_Raw!$A:$A,Input_Raw!$DF:$DF),"")</f>
        <v>1.142311446242481</v>
      </c>
      <c r="N53" s="189">
        <f>IFERROR(_xlfn.XLOOKUP($A53,Input_Raw!$A:$A,Input_Raw!$DG:$DG),"")</f>
        <v>4.5194999999999999</v>
      </c>
      <c r="O53" s="219">
        <f>IFERROR(1-(SUMIF(Plant_BD!$B:$B,$A53,Plant_BD!$AL:$AL)/($AA53+SUMIF(Plant_BD!$B:$B,$A53,Plant_BD!$AL:$AL))),"")</f>
        <v>0.99315628042616</v>
      </c>
      <c r="P53" s="219"/>
      <c r="Q53" s="220">
        <f>IFERROR(1-(SUMIF(Grid_BD!$B:$B,$A53,Grid_BD!$V:$V)/($AA53+SUMIF(Grid_BD!$B:$B,$A53,Grid_BD!$V:$V))),"")</f>
        <v>1</v>
      </c>
      <c r="R53" s="219">
        <f>IFERROR(1-(SUMIF(Grid_BD!$B:$B,$A53,Grid_BD!$V:$V)/($AA53+SUMIF(Grid_BD!$B:$B,$A53,Grid_BD!$V:$V))),"")</f>
        <v>1</v>
      </c>
      <c r="S53" s="9"/>
      <c r="T53" s="220"/>
      <c r="U53" s="221">
        <f t="shared" si="6"/>
        <v>0.81996624150685649</v>
      </c>
      <c r="V53" s="221" t="str">
        <f>IFERROR(_xlfn.XLOOKUP($A53,Input_Raw!$A:$A,Input_Raw!$FG:$FG),"")</f>
        <v/>
      </c>
      <c r="W53" s="222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78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22">
        <f>IFERROR(_xlfn.XLOOKUP($D53,'Modelling New'!$D:$D,'Modelling New'!O:O),"")</f>
        <v>0.806597995656121</v>
      </c>
      <c r="AF53" s="222">
        <f>IFERROR(_xlfn.XLOOKUP($D53,'Modelling New'!$D:$D,'Modelling New'!W:W),"")</f>
        <v>0.23157168262385408</v>
      </c>
      <c r="AG53" s="222">
        <f>IFERROR(_xlfn.XLOOKUP($D53,'Modelling New'!$D:$D,'Modelling New'!AE:AE),"")</f>
        <v>0.995</v>
      </c>
      <c r="AH53" s="222">
        <f>IFERROR(_xlfn.XLOOKUP($D53,'Modelling New'!$D:$D,'Modelling New'!AF:AF),"")</f>
        <v>0.995</v>
      </c>
      <c r="AI53" s="9"/>
      <c r="AJ53" s="9"/>
      <c r="AK53" s="245"/>
      <c r="AL53" s="245"/>
      <c r="AM53" s="245"/>
      <c r="AN53" s="219"/>
      <c r="AO53" s="222"/>
      <c r="AP53" s="222"/>
      <c r="AQ53" s="222"/>
      <c r="AR53" s="223">
        <f>_xlfn.XLOOKUP(D53,'Modelling New'!$D:$D,'Modelling New'!$N:$N)</f>
        <v>130</v>
      </c>
      <c r="AS53" s="223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18">
        <f>Table13[[#This Row],[Date]]-DAY(Table13[[#This Row],[Date]])+1</f>
        <v>45778</v>
      </c>
      <c r="E54" s="9">
        <f t="shared" si="5"/>
        <v>31</v>
      </c>
      <c r="F54" s="188">
        <f>IFERROR(_xlfn.XLOOKUP($A54,Input_Raw!$A:$A,Input_Raw!$FC:$FC),"")</f>
        <v>12.9</v>
      </c>
      <c r="G54" s="189">
        <f>IFERROR(_xlfn.XLOOKUP($A54,Input_Raw!$A:$A,Input_Raw!$CY:$CY),"")</f>
        <v>4.4093042916666647</v>
      </c>
      <c r="H54" s="189">
        <f>IFERROR(_xlfn.XLOOKUP($A54,Input_Raw!$A:$A,Input_Raw!$DA:$DA),"")</f>
        <v>0.74484316666666617</v>
      </c>
      <c r="I54" s="189">
        <f>IFERROR(_xlfn.XLOOKUP($A54,Input_Raw!$A:$A,Input_Raw!$CX:$CX),"")</f>
        <v>4.2949318333333331</v>
      </c>
      <c r="J54" s="189">
        <f>IFERROR(_xlfn.XLOOKUP($A54,Input_Raw!$A:$A,Input_Raw!$CZ:$CZ),"")</f>
        <v>0.55376820833333373</v>
      </c>
      <c r="K54" s="190">
        <f>IFERROR(_xlfn.XLOOKUP($A54,Input_Raw!$A:$A,Input_Raw!$DB:$DB),"")</f>
        <v>30.98289087205039</v>
      </c>
      <c r="L54" s="190">
        <f>IFERROR(_xlfn.XLOOKUP($A54,Input_Raw!$A:$A,Input_Raw!$DC:$DC),"")</f>
        <v>41.981150643283982</v>
      </c>
      <c r="M54" s="189">
        <f>IFERROR(_xlfn.XLOOKUP($A54,Input_Raw!$A:$A,Input_Raw!$DF:$DF),"")</f>
        <v>0.94515163108005584</v>
      </c>
      <c r="N54" s="189">
        <f>IFERROR(_xlfn.XLOOKUP($A54,Input_Raw!$A:$A,Input_Raw!$DG:$DG),"")</f>
        <v>2.3985000000000003</v>
      </c>
      <c r="O54" s="219">
        <f>IFERROR(1-(SUMIF(Plant_BD!$B:$B,$A54,Plant_BD!$AL:$AL)/($AA54+SUMIF(Plant_BD!$B:$B,$A54,Plant_BD!$AL:$AL))),"")</f>
        <v>1</v>
      </c>
      <c r="P54" s="219"/>
      <c r="Q54" s="220">
        <f>IFERROR(1-(SUMIF(Grid_BD!$B:$B,$A54,Grid_BD!$V:$V)/($AA54+SUMIF(Grid_BD!$B:$B,$A54,Grid_BD!$V:$V))),"")</f>
        <v>1</v>
      </c>
      <c r="R54" s="219">
        <f>IFERROR(1-(SUMIF(Grid_BD!$B:$B,$A54,Grid_BD!$V:$V)/($AA54+SUMIF(Grid_BD!$B:$B,$A54,Grid_BD!$V:$V))),"")</f>
        <v>1</v>
      </c>
      <c r="S54" s="9"/>
      <c r="T54" s="220"/>
      <c r="U54" s="221">
        <f t="shared" si="6"/>
        <v>0.86447969374418887</v>
      </c>
      <c r="V54" s="221" t="str">
        <f>IFERROR(_xlfn.XLOOKUP($A54,Input_Raw!$A:$A,Input_Raw!$FG:$FG),"")</f>
        <v/>
      </c>
      <c r="W54" s="222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78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22">
        <f>IFERROR(_xlfn.XLOOKUP($D54,'Modelling New'!$D:$D,'Modelling New'!O:O),"")</f>
        <v>0.806597995656121</v>
      </c>
      <c r="AF54" s="222">
        <f>IFERROR(_xlfn.XLOOKUP($D54,'Modelling New'!$D:$D,'Modelling New'!W:W),"")</f>
        <v>0.23157168262385408</v>
      </c>
      <c r="AG54" s="222">
        <f>IFERROR(_xlfn.XLOOKUP($D54,'Modelling New'!$D:$D,'Modelling New'!AE:AE),"")</f>
        <v>0.995</v>
      </c>
      <c r="AH54" s="222">
        <f>IFERROR(_xlfn.XLOOKUP($D54,'Modelling New'!$D:$D,'Modelling New'!AF:AF),"")</f>
        <v>0.995</v>
      </c>
      <c r="AI54" s="9"/>
      <c r="AJ54" s="9"/>
      <c r="AK54" s="245"/>
      <c r="AL54" s="245"/>
      <c r="AM54" s="245"/>
      <c r="AN54" s="219"/>
      <c r="AO54" s="222"/>
      <c r="AP54" s="222"/>
      <c r="AQ54" s="222"/>
      <c r="AR54" s="223">
        <f>_xlfn.XLOOKUP(D54,'Modelling New'!$D:$D,'Modelling New'!$N:$N)</f>
        <v>130</v>
      </c>
      <c r="AS54" s="223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18">
        <f>Table13[[#This Row],[Date]]-DAY(Table13[[#This Row],[Date]])+1</f>
        <v>45778</v>
      </c>
      <c r="E55" s="9">
        <f t="shared" si="5"/>
        <v>31</v>
      </c>
      <c r="F55" s="188">
        <f>IFERROR(_xlfn.XLOOKUP($A55,Input_Raw!$A:$A,Input_Raw!$FC:$FC),"")</f>
        <v>12.9</v>
      </c>
      <c r="G55" s="178">
        <f>IFERROR(_xlfn.XLOOKUP($A55,Input_Raw!$A:$A,Input_Raw!$CY:$CY),"")</f>
        <v>5.06894934166667</v>
      </c>
      <c r="H55" s="178">
        <f>IFERROR(_xlfn.XLOOKUP($A55,Input_Raw!$A:$A,Input_Raw!$DA:$DA),"")</f>
        <v>0.74667409999999923</v>
      </c>
      <c r="I55" s="178">
        <f>IFERROR(_xlfn.XLOOKUP($A55,Input_Raw!$A:$A,Input_Raw!$CX:$CX),"")</f>
        <v>4.938241274999994</v>
      </c>
      <c r="J55" s="178">
        <f>IFERROR(_xlfn.XLOOKUP($A55,Input_Raw!$A:$A,Input_Raw!$CZ:$CZ),"")</f>
        <v>0.54250147499999968</v>
      </c>
      <c r="K55" s="190">
        <f>IFERROR(_xlfn.XLOOKUP($A55,Input_Raw!$A:$A,Input_Raw!$DB:$DB),"")</f>
        <v>28.752469992060163</v>
      </c>
      <c r="L55" s="190">
        <f>IFERROR(_xlfn.XLOOKUP($A55,Input_Raw!$A:$A,Input_Raw!$DC:$DC),"")</f>
        <v>40.333250780785207</v>
      </c>
      <c r="M55" s="189">
        <f>IFERROR(_xlfn.XLOOKUP($A55,Input_Raw!$A:$A,Input_Raw!$DF:$DF),"")</f>
        <v>1.0779089504480626</v>
      </c>
      <c r="N55" s="189">
        <f>IFERROR(_xlfn.XLOOKUP($A55,Input_Raw!$A:$A,Input_Raw!$DG:$DG),"")</f>
        <v>5.6594999999999995</v>
      </c>
      <c r="O55" s="219">
        <f>IFERROR(1-(SUMIF(Plant_BD!$B:$B,$A55,Plant_BD!$AL:$AL)/($AA55+SUMIF(Plant_BD!$B:$B,$A55,Plant_BD!$AL:$AL))),"")</f>
        <v>0.92716182010675474</v>
      </c>
      <c r="P55" s="219"/>
      <c r="Q55" s="220">
        <f>IFERROR(1-(SUMIF(Grid_BD!$B:$B,$A55,Grid_BD!$V:$V)/($AA55+SUMIF(Grid_BD!$B:$B,$A55,Grid_BD!$V:$V))),"")</f>
        <v>1</v>
      </c>
      <c r="R55" s="219">
        <f>IFERROR(1-(SUMIF(Grid_BD!$B:$B,$A55,Grid_BD!$V:$V)/($AA55+SUMIF(Grid_BD!$B:$B,$A55,Grid_BD!$V:$V))),"")</f>
        <v>1</v>
      </c>
      <c r="S55" s="9"/>
      <c r="T55" s="220"/>
      <c r="U55" s="221">
        <f t="shared" si="6"/>
        <v>0.79980440377410233</v>
      </c>
      <c r="V55" s="221" t="str">
        <f>IFERROR(_xlfn.XLOOKUP($A55,Input_Raw!$A:$A,Input_Raw!$FG:$FG),"")</f>
        <v/>
      </c>
      <c r="W55" s="222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78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22">
        <f>IFERROR(_xlfn.XLOOKUP($D55,'Modelling New'!$D:$D,'Modelling New'!O:O),"")</f>
        <v>0.806597995656121</v>
      </c>
      <c r="AF55" s="222">
        <f>IFERROR(_xlfn.XLOOKUP($D55,'Modelling New'!$D:$D,'Modelling New'!W:W),"")</f>
        <v>0.23157168262385408</v>
      </c>
      <c r="AG55" s="222">
        <f>IFERROR(_xlfn.XLOOKUP($D55,'Modelling New'!$D:$D,'Modelling New'!AE:AE),"")</f>
        <v>0.995</v>
      </c>
      <c r="AH55" s="222">
        <f>IFERROR(_xlfn.XLOOKUP($D55,'Modelling New'!$D:$D,'Modelling New'!AF:AF),"")</f>
        <v>0.995</v>
      </c>
      <c r="AI55" s="9"/>
      <c r="AJ55" s="9"/>
      <c r="AK55" s="245"/>
      <c r="AL55" s="245"/>
      <c r="AM55" s="245"/>
      <c r="AN55" s="219"/>
      <c r="AO55" s="222"/>
      <c r="AP55" s="222"/>
      <c r="AQ55" s="222"/>
      <c r="AR55" s="223">
        <f>_xlfn.XLOOKUP(D55,'Modelling New'!$D:$D,'Modelling New'!$N:$N)</f>
        <v>130</v>
      </c>
      <c r="AS55" s="223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18">
        <f>Table13[[#This Row],[Date]]-DAY(Table13[[#This Row],[Date]])+1</f>
        <v>45778</v>
      </c>
      <c r="E56" s="9">
        <f t="shared" si="5"/>
        <v>31</v>
      </c>
      <c r="F56" s="188">
        <f>IFERROR(_xlfn.XLOOKUP($A56,Input_Raw!$A:$A,Input_Raw!$FC:$FC),"")</f>
        <v>12.533333333333335</v>
      </c>
      <c r="G56" s="189">
        <f>IFERROR(_xlfn.XLOOKUP($A56,Input_Raw!$A:$A,Input_Raw!$CY:$CY),"")</f>
        <v>6.3728733750000046</v>
      </c>
      <c r="H56" s="189">
        <f>IFERROR(_xlfn.XLOOKUP($A56,Input_Raw!$A:$A,Input_Raw!$DA:$DA),"")</f>
        <v>0.87286632500000061</v>
      </c>
      <c r="I56" s="189">
        <f>IFERROR(_xlfn.XLOOKUP($A56,Input_Raw!$A:$A,Input_Raw!$CX:$CX),"")</f>
        <v>6.2420594250000008</v>
      </c>
      <c r="J56" s="189">
        <f>IFERROR(_xlfn.XLOOKUP($A56,Input_Raw!$A:$A,Input_Raw!$CZ:$CZ),"")</f>
        <v>0.6650737166666667</v>
      </c>
      <c r="K56" s="190">
        <f>IFERROR(_xlfn.XLOOKUP($A56,Input_Raw!$A:$A,Input_Raw!$DB:$DB),"")</f>
        <v>27.727643723159545</v>
      </c>
      <c r="L56" s="190">
        <f>IFERROR(_xlfn.XLOOKUP($A56,Input_Raw!$A:$A,Input_Raw!$DC:$DC),"")</f>
        <v>40.738590036882627</v>
      </c>
      <c r="M56" s="189">
        <f>IFERROR(_xlfn.XLOOKUP($A56,Input_Raw!$A:$A,Input_Raw!$DF:$DF),"")</f>
        <v>0.91528808794035244</v>
      </c>
      <c r="N56" s="189">
        <f>IFERROR(_xlfn.XLOOKUP($A56,Input_Raw!$A:$A,Input_Raw!$DG:$DG),"")</f>
        <v>3.4965000000000002</v>
      </c>
      <c r="O56" s="219">
        <f>IFERROR(1-(SUMIF(Plant_BD!$B:$B,$A56,Plant_BD!$AL:$AL)/($AA56+SUMIF(Plant_BD!$B:$B,$A56,Plant_BD!$AL:$AL))),"")</f>
        <v>0.92383885961209211</v>
      </c>
      <c r="P56" s="219"/>
      <c r="Q56" s="220">
        <f>IFERROR(1-(SUMIF(Grid_BD!$B:$B,$A56,Grid_BD!$V:$V)/($AA56+SUMIF(Grid_BD!$B:$B,$A56,Grid_BD!$V:$V))),"")</f>
        <v>1</v>
      </c>
      <c r="R56" s="219">
        <f>IFERROR(1-(SUMIF(Grid_BD!$B:$B,$A56,Grid_BD!$V:$V)/($AA56+SUMIF(Grid_BD!$B:$B,$A56,Grid_BD!$V:$V))),"")</f>
        <v>1</v>
      </c>
      <c r="S56" s="9"/>
      <c r="T56" s="220"/>
      <c r="U56" s="221">
        <f t="shared" si="6"/>
        <v>0.76216697110725806</v>
      </c>
      <c r="V56" s="221" t="str">
        <f>IFERROR(_xlfn.XLOOKUP($A56,Input_Raw!$A:$A,Input_Raw!$FG:$FG),"")</f>
        <v/>
      </c>
      <c r="W56" s="222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78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22">
        <f>IFERROR(_xlfn.XLOOKUP($D56,'Modelling New'!$D:$D,'Modelling New'!O:O),"")</f>
        <v>0.806597995656121</v>
      </c>
      <c r="AF56" s="222">
        <f>IFERROR(_xlfn.XLOOKUP($D56,'Modelling New'!$D:$D,'Modelling New'!W:W),"")</f>
        <v>0.23157168262385408</v>
      </c>
      <c r="AG56" s="222">
        <f>IFERROR(_xlfn.XLOOKUP($D56,'Modelling New'!$D:$D,'Modelling New'!AE:AE),"")</f>
        <v>0.995</v>
      </c>
      <c r="AH56" s="222">
        <f>IFERROR(_xlfn.XLOOKUP($D56,'Modelling New'!$D:$D,'Modelling New'!AF:AF),"")</f>
        <v>0.995</v>
      </c>
      <c r="AI56" s="9"/>
      <c r="AJ56" s="9"/>
      <c r="AK56" s="245"/>
      <c r="AL56" s="245"/>
      <c r="AM56" s="245"/>
      <c r="AN56" s="219"/>
      <c r="AO56" s="222"/>
      <c r="AP56" s="222"/>
      <c r="AQ56" s="222"/>
      <c r="AR56" s="223">
        <f>_xlfn.XLOOKUP(D56,'Modelling New'!$D:$D,'Modelling New'!$N:$N)</f>
        <v>130</v>
      </c>
      <c r="AS56" s="223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18">
        <f>Table13[[#This Row],[Date]]-DAY(Table13[[#This Row],[Date]])+1</f>
        <v>45778</v>
      </c>
      <c r="E57" s="9">
        <f t="shared" si="5"/>
        <v>31</v>
      </c>
      <c r="F57" s="188">
        <f>IFERROR(_xlfn.XLOOKUP($A57,Input_Raw!$A:$A,Input_Raw!$FC:$FC),"")</f>
        <v>11.35</v>
      </c>
      <c r="G57" s="178">
        <f>IFERROR(_xlfn.XLOOKUP($A57,Input_Raw!$A:$A,Input_Raw!$CY:$CY),"")</f>
        <v>2.6958045833333331</v>
      </c>
      <c r="H57" s="178">
        <f>IFERROR(_xlfn.XLOOKUP($A57,Input_Raw!$A:$A,Input_Raw!$DA:$DA),"")</f>
        <v>0.37131239999999988</v>
      </c>
      <c r="I57" s="178">
        <f>IFERROR(_xlfn.XLOOKUP($A57,Input_Raw!$A:$A,Input_Raw!$CX:$CX),"")</f>
        <v>2.6424233416666665</v>
      </c>
      <c r="J57" s="178">
        <f>IFERROR(_xlfn.XLOOKUP($A57,Input_Raw!$A:$A,Input_Raw!$CZ:$CZ),"")</f>
        <v>0.2955788750000003</v>
      </c>
      <c r="K57" s="190">
        <f>IFERROR(_xlfn.XLOOKUP($A57,Input_Raw!$A:$A,Input_Raw!$DB:$DB),"")</f>
        <v>28.223681738524618</v>
      </c>
      <c r="L57" s="190">
        <f>IFERROR(_xlfn.XLOOKUP($A57,Input_Raw!$A:$A,Input_Raw!$DC:$DC),"")</f>
        <v>37.248613896141258</v>
      </c>
      <c r="M57" s="189">
        <f>IFERROR(_xlfn.XLOOKUP($A57,Input_Raw!$A:$A,Input_Raw!$DF:$DF),"")</f>
        <v>0.70151290862961069</v>
      </c>
      <c r="N57" s="189">
        <f>IFERROR(_xlfn.XLOOKUP($A57,Input_Raw!$A:$A,Input_Raw!$DG:$DG),"")</f>
        <v>2.0324999999999998</v>
      </c>
      <c r="O57" s="219">
        <f>IFERROR(1-(SUMIF(Plant_BD!$B:$B,$A57,Plant_BD!$AL:$AL)/($AA57+SUMIF(Plant_BD!$B:$B,$A57,Plant_BD!$AL:$AL))),"")</f>
        <v>0.93211946248674937</v>
      </c>
      <c r="P57" s="219"/>
      <c r="Q57" s="220">
        <f>IFERROR(1-(SUMIF(Grid_BD!$B:$B,$A57,Grid_BD!$V:$V)/($AA57+SUMIF(Grid_BD!$B:$B,$A57,Grid_BD!$V:$V))),"")</f>
        <v>1</v>
      </c>
      <c r="R57" s="219">
        <f>IFERROR(1-(SUMIF(Grid_BD!$B:$B,$A57,Grid_BD!$V:$V)/($AA57+SUMIF(Grid_BD!$B:$B,$A57,Grid_BD!$V:$V))),"")</f>
        <v>1</v>
      </c>
      <c r="S57" s="9"/>
      <c r="T57" s="220"/>
      <c r="U57" s="221">
        <f t="shared" si="6"/>
        <v>0.86569225591460064</v>
      </c>
      <c r="V57" s="221" t="str">
        <f>IFERROR(_xlfn.XLOOKUP($A57,Input_Raw!$A:$A,Input_Raw!$FG:$FG),"")</f>
        <v/>
      </c>
      <c r="W57" s="222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78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22">
        <f>IFERROR(_xlfn.XLOOKUP($D57,'Modelling New'!$D:$D,'Modelling New'!O:O),"")</f>
        <v>0.806597995656121</v>
      </c>
      <c r="AF57" s="222">
        <f>IFERROR(_xlfn.XLOOKUP($D57,'Modelling New'!$D:$D,'Modelling New'!W:W),"")</f>
        <v>0.23157168262385408</v>
      </c>
      <c r="AG57" s="222">
        <f>IFERROR(_xlfn.XLOOKUP($D57,'Modelling New'!$D:$D,'Modelling New'!AE:AE),"")</f>
        <v>0.995</v>
      </c>
      <c r="AH57" s="222">
        <f>IFERROR(_xlfn.XLOOKUP($D57,'Modelling New'!$D:$D,'Modelling New'!AF:AF),"")</f>
        <v>0.995</v>
      </c>
      <c r="AI57" s="9"/>
      <c r="AJ57" s="9"/>
      <c r="AK57" s="245"/>
      <c r="AL57" s="245"/>
      <c r="AM57" s="245"/>
      <c r="AN57" s="219"/>
      <c r="AO57" s="222"/>
      <c r="AP57" s="222"/>
      <c r="AQ57" s="222"/>
      <c r="AR57" s="223">
        <f>_xlfn.XLOOKUP(D57,'Modelling New'!$D:$D,'Modelling New'!$N:$N)</f>
        <v>130</v>
      </c>
      <c r="AS57" s="223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18">
        <f>Table13[[#This Row],[Date]]-DAY(Table13[[#This Row],[Date]])+1</f>
        <v>45778</v>
      </c>
      <c r="E58" s="9">
        <f t="shared" si="5"/>
        <v>31</v>
      </c>
      <c r="F58" s="188">
        <f>IFERROR(_xlfn.XLOOKUP($A58,Input_Raw!$A:$A,Input_Raw!$FC:$FC),"")</f>
        <v>12.116666666666669</v>
      </c>
      <c r="G58" s="189">
        <f>IFERROR(_xlfn.XLOOKUP($A58,Input_Raw!$A:$A,Input_Raw!$CY:$CY),"")</f>
        <v>3.6094144499999992</v>
      </c>
      <c r="H58" s="189">
        <f>IFERROR(_xlfn.XLOOKUP($A58,Input_Raw!$A:$A,Input_Raw!$DA:$DA),"")</f>
        <v>0.51330055833333366</v>
      </c>
      <c r="I58" s="189">
        <f>IFERROR(_xlfn.XLOOKUP($A58,Input_Raw!$A:$A,Input_Raw!$CX:$CX),"")</f>
        <v>3.5202772916666696</v>
      </c>
      <c r="J58" s="189">
        <f>IFERROR(_xlfn.XLOOKUP($A58,Input_Raw!$A:$A,Input_Raw!$CZ:$CZ),"")</f>
        <v>0.39291635833333372</v>
      </c>
      <c r="K58" s="190">
        <f>IFERROR(_xlfn.XLOOKUP($A58,Input_Raw!$A:$A,Input_Raw!$DB:$DB),"")</f>
        <v>27.923654524969159</v>
      </c>
      <c r="L58" s="190">
        <f>IFERROR(_xlfn.XLOOKUP($A58,Input_Raw!$A:$A,Input_Raw!$DC:$DC),"")</f>
        <v>37.924574397609675</v>
      </c>
      <c r="M58" s="189">
        <f>IFERROR(_xlfn.XLOOKUP($A58,Input_Raw!$A:$A,Input_Raw!$DF:$DF),"")</f>
        <v>0.89796076789084067</v>
      </c>
      <c r="N58" s="189">
        <f>IFERROR(_xlfn.XLOOKUP($A58,Input_Raw!$A:$A,Input_Raw!$DG:$DG),"")</f>
        <v>2.2845</v>
      </c>
      <c r="O58" s="219">
        <f>IFERROR(1-(SUMIF(Plant_BD!$B:$B,$A58,Plant_BD!$AL:$AL)/($AA58+SUMIF(Plant_BD!$B:$B,$A58,Plant_BD!$AL:$AL))),"")</f>
        <v>0.90915037695657075</v>
      </c>
      <c r="P58" s="219"/>
      <c r="Q58" s="220">
        <f>IFERROR(1-(SUMIF(Grid_BD!$B:$B,$A58,Grid_BD!$V:$V)/($AA58+SUMIF(Grid_BD!$B:$B,$A58,Grid_BD!$V:$V))),"")</f>
        <v>1</v>
      </c>
      <c r="R58" s="219">
        <f>IFERROR(1-(SUMIF(Grid_BD!$B:$B,$A58,Grid_BD!$V:$V)/($AA58+SUMIF(Grid_BD!$B:$B,$A58,Grid_BD!$V:$V))),"")</f>
        <v>1</v>
      </c>
      <c r="S58" s="9"/>
      <c r="T58" s="220"/>
      <c r="U58" s="221">
        <f t="shared" si="6"/>
        <v>0.83146377638387348</v>
      </c>
      <c r="V58" s="221" t="str">
        <f>IFERROR(_xlfn.XLOOKUP($A58,Input_Raw!$A:$A,Input_Raw!$FG:$FG),"")</f>
        <v/>
      </c>
      <c r="W58" s="222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78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22">
        <f>IFERROR(_xlfn.XLOOKUP($D58,'Modelling New'!$D:$D,'Modelling New'!O:O),"")</f>
        <v>0.806597995656121</v>
      </c>
      <c r="AF58" s="222">
        <f>IFERROR(_xlfn.XLOOKUP($D58,'Modelling New'!$D:$D,'Modelling New'!W:W),"")</f>
        <v>0.23157168262385408</v>
      </c>
      <c r="AG58" s="222">
        <f>IFERROR(_xlfn.XLOOKUP($D58,'Modelling New'!$D:$D,'Modelling New'!AE:AE),"")</f>
        <v>0.995</v>
      </c>
      <c r="AH58" s="222">
        <f>IFERROR(_xlfn.XLOOKUP($D58,'Modelling New'!$D:$D,'Modelling New'!AF:AF),"")</f>
        <v>0.995</v>
      </c>
      <c r="AI58" s="9"/>
      <c r="AJ58" s="9"/>
      <c r="AK58" s="245"/>
      <c r="AL58" s="245"/>
      <c r="AM58" s="245"/>
      <c r="AN58" s="219"/>
      <c r="AO58" s="222"/>
      <c r="AP58" s="222"/>
      <c r="AQ58" s="222"/>
      <c r="AR58" s="223">
        <f>_xlfn.XLOOKUP(D58,'Modelling New'!$D:$D,'Modelling New'!$N:$N)</f>
        <v>130</v>
      </c>
      <c r="AS58" s="223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18">
        <f>Table13[[#This Row],[Date]]-DAY(Table13[[#This Row],[Date]])+1</f>
        <v>45778</v>
      </c>
      <c r="E59" s="9">
        <f t="shared" si="5"/>
        <v>31</v>
      </c>
      <c r="F59" s="188">
        <f>IFERROR(_xlfn.XLOOKUP($A59,Input_Raw!$A:$A,Input_Raw!$FC:$FC),"")</f>
        <v>11.850000000000001</v>
      </c>
      <c r="G59" s="178">
        <f>IFERROR(_xlfn.XLOOKUP($A59,Input_Raw!$A:$A,Input_Raw!$CY:$CY),"")</f>
        <v>1.9565985666666661</v>
      </c>
      <c r="H59" s="178">
        <f>IFERROR(_xlfn.XLOOKUP($A59,Input_Raw!$A:$A,Input_Raw!$DA:$DA),"")</f>
        <v>0.24761743333333364</v>
      </c>
      <c r="I59" s="178">
        <f>IFERROR(_xlfn.XLOOKUP($A59,Input_Raw!$A:$A,Input_Raw!$CX:$CX),"")</f>
        <v>1.9297837499999995</v>
      </c>
      <c r="J59" s="178">
        <f>IFERROR(_xlfn.XLOOKUP($A59,Input_Raw!$A:$A,Input_Raw!$CZ:$CZ),"")</f>
        <v>0.19268006666666687</v>
      </c>
      <c r="K59" s="190">
        <f>IFERROR(_xlfn.XLOOKUP($A59,Input_Raw!$A:$A,Input_Raw!$DB:$DB),"")</f>
        <v>26.680776542092325</v>
      </c>
      <c r="L59" s="190">
        <f>IFERROR(_xlfn.XLOOKUP($A59,Input_Raw!$A:$A,Input_Raw!$DC:$DC),"")</f>
        <v>34.042662228087934</v>
      </c>
      <c r="M59" s="189">
        <f>IFERROR(_xlfn.XLOOKUP($A59,Input_Raw!$A:$A,Input_Raw!$DF:$DF),"")</f>
        <v>0.83718705927993897</v>
      </c>
      <c r="N59" s="189">
        <f>IFERROR(_xlfn.XLOOKUP($A59,Input_Raw!$A:$A,Input_Raw!$DG:$DG),"")</f>
        <v>2.3864999999999998</v>
      </c>
      <c r="O59" s="219">
        <f>IFERROR(1-(SUMIF(Plant_BD!$B:$B,$A59,Plant_BD!$AL:$AL)/($AA59+SUMIF(Plant_BD!$B:$B,$A59,Plant_BD!$AL:$AL))),"")</f>
        <v>0.91585729365232948</v>
      </c>
      <c r="P59" s="219"/>
      <c r="Q59" s="220">
        <f>IFERROR(1-(SUMIF(Grid_BD!$B:$B,$A59,Grid_BD!$V:$V)/($AA59+SUMIF(Grid_BD!$B:$B,$A59,Grid_BD!$V:$V))),"")</f>
        <v>1</v>
      </c>
      <c r="R59" s="219">
        <f>IFERROR(1-(SUMIF(Grid_BD!$B:$B,$A59,Grid_BD!$V:$V)/($AA59+SUMIF(Grid_BD!$B:$B,$A59,Grid_BD!$V:$V))),"")</f>
        <v>1</v>
      </c>
      <c r="S59" s="9"/>
      <c r="T59" s="220"/>
      <c r="U59" s="221">
        <f t="shared" si="6"/>
        <v>0.82533040106415989</v>
      </c>
      <c r="V59" s="221" t="str">
        <f>IFERROR(_xlfn.XLOOKUP($A59,Input_Raw!$A:$A,Input_Raw!$FG:$FG),"")</f>
        <v/>
      </c>
      <c r="W59" s="222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78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22">
        <f>IFERROR(_xlfn.XLOOKUP($D59,'Modelling New'!$D:$D,'Modelling New'!O:O),"")</f>
        <v>0.806597995656121</v>
      </c>
      <c r="AF59" s="222">
        <f>IFERROR(_xlfn.XLOOKUP($D59,'Modelling New'!$D:$D,'Modelling New'!W:W),"")</f>
        <v>0.23157168262385408</v>
      </c>
      <c r="AG59" s="222">
        <f>IFERROR(_xlfn.XLOOKUP($D59,'Modelling New'!$D:$D,'Modelling New'!AE:AE),"")</f>
        <v>0.995</v>
      </c>
      <c r="AH59" s="222">
        <f>IFERROR(_xlfn.XLOOKUP($D59,'Modelling New'!$D:$D,'Modelling New'!AF:AF),"")</f>
        <v>0.995</v>
      </c>
      <c r="AI59" s="9"/>
      <c r="AJ59" s="9"/>
      <c r="AK59" s="245"/>
      <c r="AL59" s="245"/>
      <c r="AM59" s="245"/>
      <c r="AN59" s="219"/>
      <c r="AO59" s="222"/>
      <c r="AP59" s="222"/>
      <c r="AQ59" s="222"/>
      <c r="AR59" s="223">
        <f>_xlfn.XLOOKUP(D59,'Modelling New'!$D:$D,'Modelling New'!$N:$N)</f>
        <v>130</v>
      </c>
      <c r="AS59" s="223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18">
        <f>Table13[[#This Row],[Date]]-DAY(Table13[[#This Row],[Date]])+1</f>
        <v>45778</v>
      </c>
      <c r="E60" s="9">
        <f t="shared" si="5"/>
        <v>31</v>
      </c>
      <c r="F60" s="188">
        <f>IFERROR(_xlfn.XLOOKUP($A60,Input_Raw!$A:$A,Input_Raw!$FC:$FC),"")</f>
        <v>12.266666666666666</v>
      </c>
      <c r="G60" s="189">
        <f>IFERROR(_xlfn.XLOOKUP($A60,Input_Raw!$A:$A,Input_Raw!$CY:$CY),"")</f>
        <v>7.042258866666665</v>
      </c>
      <c r="H60" s="189">
        <f>IFERROR(_xlfn.XLOOKUP($A60,Input_Raw!$A:$A,Input_Raw!$DA:$DA),"")</f>
        <v>0.91303183333333393</v>
      </c>
      <c r="I60" s="189">
        <f>IFERROR(_xlfn.XLOOKUP($A60,Input_Raw!$A:$A,Input_Raw!$CX:$CX),"")</f>
        <v>6.7432472583333318</v>
      </c>
      <c r="J60" s="189">
        <f>IFERROR(_xlfn.XLOOKUP($A60,Input_Raw!$A:$A,Input_Raw!$CZ:$CZ),"")</f>
        <v>0.69532872500000009</v>
      </c>
      <c r="K60" s="190">
        <f>IFERROR(_xlfn.XLOOKUP($A60,Input_Raw!$A:$A,Input_Raw!$DB:$DB),"")</f>
        <v>29.609042941775925</v>
      </c>
      <c r="L60" s="190">
        <f>IFERROR(_xlfn.XLOOKUP($A60,Input_Raw!$A:$A,Input_Raw!$DC:$DC),"")</f>
        <v>43.12478589114334</v>
      </c>
      <c r="M60" s="189">
        <f>IFERROR(_xlfn.XLOOKUP($A60,Input_Raw!$A:$A,Input_Raw!$DF:$DF),"")</f>
        <v>0.63661943811006028</v>
      </c>
      <c r="N60" s="189">
        <f>IFERROR(_xlfn.XLOOKUP($A60,Input_Raw!$A:$A,Input_Raw!$DG:$DG),"")</f>
        <v>5.3175000000000008</v>
      </c>
      <c r="O60" s="219">
        <f>IFERROR(1-(SUMIF(Plant_BD!$B:$B,$A60,Plant_BD!$AL:$AL)/($AA60+SUMIF(Plant_BD!$B:$B,$A60,Plant_BD!$AL:$AL))),"")</f>
        <v>0.92467300061463154</v>
      </c>
      <c r="P60" s="219"/>
      <c r="Q60" s="220">
        <f>IFERROR(1-(SUMIF(Grid_BD!$B:$B,$A60,Grid_BD!$V:$V)/($AA60+SUMIF(Grid_BD!$B:$B,$A60,Grid_BD!$V:$V))),"")</f>
        <v>1</v>
      </c>
      <c r="R60" s="219">
        <f>IFERROR(1-(SUMIF(Grid_BD!$B:$B,$A60,Grid_BD!$V:$V)/($AA60+SUMIF(Grid_BD!$B:$B,$A60,Grid_BD!$V:$V))),"")</f>
        <v>1</v>
      </c>
      <c r="S60" s="9"/>
      <c r="T60" s="220"/>
      <c r="U60" s="221">
        <f t="shared" si="6"/>
        <v>0.75404902528017226</v>
      </c>
      <c r="V60" s="221" t="str">
        <f>IFERROR(_xlfn.XLOOKUP($A60,Input_Raw!$A:$A,Input_Raw!$FG:$FG),"")</f>
        <v/>
      </c>
      <c r="W60" s="222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78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22">
        <f>IFERROR(_xlfn.XLOOKUP($D60,'Modelling New'!$D:$D,'Modelling New'!O:O),"")</f>
        <v>0.806597995656121</v>
      </c>
      <c r="AF60" s="222">
        <f>IFERROR(_xlfn.XLOOKUP($D60,'Modelling New'!$D:$D,'Modelling New'!W:W),"")</f>
        <v>0.23157168262385408</v>
      </c>
      <c r="AG60" s="222">
        <f>IFERROR(_xlfn.XLOOKUP($D60,'Modelling New'!$D:$D,'Modelling New'!AE:AE),"")</f>
        <v>0.995</v>
      </c>
      <c r="AH60" s="222">
        <f>IFERROR(_xlfn.XLOOKUP($D60,'Modelling New'!$D:$D,'Modelling New'!AF:AF),"")</f>
        <v>0.995</v>
      </c>
      <c r="AI60" s="9"/>
      <c r="AJ60" s="9"/>
      <c r="AK60" s="245"/>
      <c r="AL60" s="245"/>
      <c r="AM60" s="245"/>
      <c r="AN60" s="219"/>
      <c r="AO60" s="222"/>
      <c r="AP60" s="222"/>
      <c r="AQ60" s="222"/>
      <c r="AR60" s="223">
        <f>_xlfn.XLOOKUP(D60,'Modelling New'!$D:$D,'Modelling New'!$N:$N)</f>
        <v>130</v>
      </c>
      <c r="AS60" s="223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18">
        <f>Table13[[#This Row],[Date]]-DAY(Table13[[#This Row],[Date]])+1</f>
        <v>45778</v>
      </c>
      <c r="E61" s="9">
        <f t="shared" si="5"/>
        <v>31</v>
      </c>
      <c r="F61" s="188">
        <f>IFERROR(_xlfn.XLOOKUP($A61,Input_Raw!$A:$A,Input_Raw!$FC:$FC),"")</f>
        <v>12.616666666666667</v>
      </c>
      <c r="G61" s="178">
        <f>IFERROR(_xlfn.XLOOKUP($A61,Input_Raw!$A:$A,Input_Raw!$CY:$CY),"")</f>
        <v>5.7729960416666675</v>
      </c>
      <c r="H61" s="178">
        <f>IFERROR(_xlfn.XLOOKUP($A61,Input_Raw!$A:$A,Input_Raw!$DA:$DA),"")</f>
        <v>0.83936645833333379</v>
      </c>
      <c r="I61" s="178">
        <f>IFERROR(_xlfn.XLOOKUP($A61,Input_Raw!$A:$A,Input_Raw!$CX:$CX),"")</f>
        <v>5.5893830666666684</v>
      </c>
      <c r="J61" s="178">
        <f>IFERROR(_xlfn.XLOOKUP($A61,Input_Raw!$A:$A,Input_Raw!$CZ:$CZ),"")</f>
        <v>0.63960322499999944</v>
      </c>
      <c r="K61" s="190">
        <f>IFERROR(_xlfn.XLOOKUP($A61,Input_Raw!$A:$A,Input_Raw!$DB:$DB),"")</f>
        <v>29.684560444721285</v>
      </c>
      <c r="L61" s="190">
        <f>IFERROR(_xlfn.XLOOKUP($A61,Input_Raw!$A:$A,Input_Raw!$DC:$DC),"")</f>
        <v>40.738698078561598</v>
      </c>
      <c r="M61" s="189">
        <f>IFERROR(_xlfn.XLOOKUP($A61,Input_Raw!$A:$A,Input_Raw!$DF:$DF),"")</f>
        <v>1.4352887349348162</v>
      </c>
      <c r="N61" s="189">
        <f>IFERROR(_xlfn.XLOOKUP($A61,Input_Raw!$A:$A,Input_Raw!$DG:$DG),"")</f>
        <v>4.8104999999999993</v>
      </c>
      <c r="O61" s="219">
        <f>IFERROR(1-(SUMIF(Plant_BD!$B:$B,$A61,Plant_BD!$AL:$AL)/($AA61+SUMIF(Plant_BD!$B:$B,$A61,Plant_BD!$AL:$AL))),"")</f>
        <v>0.96297966983506178</v>
      </c>
      <c r="P61" s="219"/>
      <c r="Q61" s="220">
        <f>IFERROR(1-(SUMIF(Grid_BD!$B:$B,$A61,Grid_BD!$V:$V)/($AA61+SUMIF(Grid_BD!$B:$B,$A61,Grid_BD!$V:$V))),"")</f>
        <v>1</v>
      </c>
      <c r="R61" s="219">
        <f>IFERROR(1-(SUMIF(Grid_BD!$B:$B,$A61,Grid_BD!$V:$V)/($AA61+SUMIF(Grid_BD!$B:$B,$A61,Grid_BD!$V:$V))),"")</f>
        <v>1</v>
      </c>
      <c r="S61" s="9"/>
      <c r="T61" s="220"/>
      <c r="U61" s="221">
        <f t="shared" si="6"/>
        <v>0.79882777387452231</v>
      </c>
      <c r="V61" s="221" t="str">
        <f>IFERROR(_xlfn.XLOOKUP($A61,Input_Raw!$A:$A,Input_Raw!$FG:$FG),"")</f>
        <v/>
      </c>
      <c r="W61" s="222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78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22">
        <f>IFERROR(_xlfn.XLOOKUP($D61,'Modelling New'!$D:$D,'Modelling New'!O:O),"")</f>
        <v>0.806597995656121</v>
      </c>
      <c r="AF61" s="222">
        <f>IFERROR(_xlfn.XLOOKUP($D61,'Modelling New'!$D:$D,'Modelling New'!W:W),"")</f>
        <v>0.23157168262385408</v>
      </c>
      <c r="AG61" s="222">
        <f>IFERROR(_xlfn.XLOOKUP($D61,'Modelling New'!$D:$D,'Modelling New'!AE:AE),"")</f>
        <v>0.995</v>
      </c>
      <c r="AH61" s="222">
        <f>IFERROR(_xlfn.XLOOKUP($D61,'Modelling New'!$D:$D,'Modelling New'!AF:AF),"")</f>
        <v>0.995</v>
      </c>
      <c r="AI61" s="9"/>
      <c r="AJ61" s="9"/>
      <c r="AK61" s="245"/>
      <c r="AL61" s="245"/>
      <c r="AM61" s="245"/>
      <c r="AN61" s="219"/>
      <c r="AO61" s="222"/>
      <c r="AP61" s="222"/>
      <c r="AQ61" s="222"/>
      <c r="AR61" s="223">
        <f>_xlfn.XLOOKUP(D61,'Modelling New'!$D:$D,'Modelling New'!$N:$N)</f>
        <v>130</v>
      </c>
      <c r="AS61" s="223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18">
        <f>Table13[[#This Row],[Date]]-DAY(Table13[[#This Row],[Date]])+1</f>
        <v>45778</v>
      </c>
      <c r="E62" s="9">
        <f t="shared" si="5"/>
        <v>31</v>
      </c>
      <c r="F62" s="188">
        <f>IFERROR(_xlfn.XLOOKUP($A62,Input_Raw!$A:$A,Input_Raw!$FC:$FC),"")</f>
        <v>11.433333333333334</v>
      </c>
      <c r="G62" s="189">
        <f>IFERROR(_xlfn.XLOOKUP($A62,Input_Raw!$A:$A,Input_Raw!$CY:$CY),"")</f>
        <v>2.6981947833333306</v>
      </c>
      <c r="H62" s="189">
        <f>IFERROR(_xlfn.XLOOKUP($A62,Input_Raw!$A:$A,Input_Raw!$DA:$DA),"")</f>
        <v>0.34551070000000023</v>
      </c>
      <c r="I62" s="189">
        <f>IFERROR(_xlfn.XLOOKUP($A62,Input_Raw!$A:$A,Input_Raw!$CX:$CX),"")</f>
        <v>2.6786335083333332</v>
      </c>
      <c r="J62" s="189">
        <f>IFERROR(_xlfn.XLOOKUP($A62,Input_Raw!$A:$A,Input_Raw!$CZ:$CZ),"")</f>
        <v>0.25623871666666653</v>
      </c>
      <c r="K62" s="190">
        <f>IFERROR(_xlfn.XLOOKUP($A62,Input_Raw!$A:$A,Input_Raw!$DB:$DB),"")</f>
        <v>26.114432434473095</v>
      </c>
      <c r="L62" s="190">
        <f>IFERROR(_xlfn.XLOOKUP($A62,Input_Raw!$A:$A,Input_Raw!$DC:$DC),"")</f>
        <v>34.734700454406607</v>
      </c>
      <c r="M62" s="189">
        <f>IFERROR(_xlfn.XLOOKUP($A62,Input_Raw!$A:$A,Input_Raw!$DF:$DF),"")</f>
        <v>1.2448140090400837</v>
      </c>
      <c r="N62" s="189">
        <f>IFERROR(_xlfn.XLOOKUP($A62,Input_Raw!$A:$A,Input_Raw!$DG:$DG),"")</f>
        <v>3.1274999999999999</v>
      </c>
      <c r="O62" s="219">
        <f>IFERROR(1-(SUMIF(Plant_BD!$B:$B,$A62,Plant_BD!$AL:$AL)/($AA62+SUMIF(Plant_BD!$B:$B,$A62,Plant_BD!$AL:$AL))),"")</f>
        <v>0.96506186922832471</v>
      </c>
      <c r="P62" s="219"/>
      <c r="Q62" s="220">
        <f>IFERROR(1-(SUMIF(Grid_BD!$B:$B,$A62,Grid_BD!$V:$V)/($AA62+SUMIF(Grid_BD!$B:$B,$A62,Grid_BD!$V:$V))),"")</f>
        <v>1</v>
      </c>
      <c r="R62" s="219">
        <f>IFERROR(1-(SUMIF(Grid_BD!$B:$B,$A62,Grid_BD!$V:$V)/($AA62+SUMIF(Grid_BD!$B:$B,$A62,Grid_BD!$V:$V))),"")</f>
        <v>1</v>
      </c>
      <c r="S62" s="9"/>
      <c r="T62" s="220"/>
      <c r="U62" s="221">
        <f t="shared" si="6"/>
        <v>0.84245802245716783</v>
      </c>
      <c r="V62" s="221" t="str">
        <f>IFERROR(_xlfn.XLOOKUP($A62,Input_Raw!$A:$A,Input_Raw!$FG:$FG),"")</f>
        <v/>
      </c>
      <c r="W62" s="222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78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22">
        <f>IFERROR(_xlfn.XLOOKUP($D62,'Modelling New'!$D:$D,'Modelling New'!O:O),"")</f>
        <v>0.806597995656121</v>
      </c>
      <c r="AF62" s="222">
        <f>IFERROR(_xlfn.XLOOKUP($D62,'Modelling New'!$D:$D,'Modelling New'!W:W),"")</f>
        <v>0.23157168262385408</v>
      </c>
      <c r="AG62" s="222">
        <f>IFERROR(_xlfn.XLOOKUP($D62,'Modelling New'!$D:$D,'Modelling New'!AE:AE),"")</f>
        <v>0.995</v>
      </c>
      <c r="AH62" s="222">
        <f>IFERROR(_xlfn.XLOOKUP($D62,'Modelling New'!$D:$D,'Modelling New'!AF:AF),"")</f>
        <v>0.995</v>
      </c>
      <c r="AI62" s="9"/>
      <c r="AJ62" s="9"/>
      <c r="AK62" s="245"/>
      <c r="AL62" s="245"/>
      <c r="AM62" s="245"/>
      <c r="AN62" s="219"/>
      <c r="AO62" s="222"/>
      <c r="AP62" s="222"/>
      <c r="AQ62" s="222"/>
      <c r="AR62" s="223">
        <f>_xlfn.XLOOKUP(D62,'Modelling New'!$D:$D,'Modelling New'!$N:$N)</f>
        <v>130</v>
      </c>
      <c r="AS62" s="223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18">
        <f>Table13[[#This Row],[Date]]-DAY(Table13[[#This Row],[Date]])+1</f>
        <v>45778</v>
      </c>
      <c r="E63" s="9">
        <f t="shared" si="5"/>
        <v>31</v>
      </c>
      <c r="F63" s="188">
        <f>IFERROR(_xlfn.XLOOKUP($A63,Input_Raw!$A:$A,Input_Raw!$FC:$FC),"")</f>
        <v>12.450000000000001</v>
      </c>
      <c r="G63" s="178">
        <f>IFERROR(_xlfn.XLOOKUP($A63,Input_Raw!$A:$A,Input_Raw!$CY:$CY),"")</f>
        <v>5.5338341583333328</v>
      </c>
      <c r="H63" s="178">
        <f>IFERROR(_xlfn.XLOOKUP($A63,Input_Raw!$A:$A,Input_Raw!$DA:$DA),"")</f>
        <v>0.77423939166666655</v>
      </c>
      <c r="I63" s="178">
        <f>IFERROR(_xlfn.XLOOKUP($A63,Input_Raw!$A:$A,Input_Raw!$CX:$CX),"")</f>
        <v>5.3923668666666593</v>
      </c>
      <c r="J63" s="178">
        <f>IFERROR(_xlfn.XLOOKUP($A63,Input_Raw!$A:$A,Input_Raw!$CZ:$CZ),"")</f>
        <v>0.59009989999999934</v>
      </c>
      <c r="K63" s="190">
        <f>IFERROR(_xlfn.XLOOKUP($A63,Input_Raw!$A:$A,Input_Raw!$DB:$DB),"")</f>
        <v>29.994979868529178</v>
      </c>
      <c r="L63" s="190">
        <f>IFERROR(_xlfn.XLOOKUP($A63,Input_Raw!$A:$A,Input_Raw!$DC:$DC),"")</f>
        <v>42.430004519646502</v>
      </c>
      <c r="M63" s="189">
        <f>IFERROR(_xlfn.XLOOKUP($A63,Input_Raw!$A:$A,Input_Raw!$DF:$DF),"")</f>
        <v>1.493704434109675</v>
      </c>
      <c r="N63" s="189">
        <f>IFERROR(_xlfn.XLOOKUP($A63,Input_Raw!$A:$A,Input_Raw!$DG:$DG),"")</f>
        <v>3.3105000000000002</v>
      </c>
      <c r="O63" s="219">
        <f>IFERROR(1-(SUMIF(Plant_BD!$B:$B,$A63,Plant_BD!$AL:$AL)/($AA63+SUMIF(Plant_BD!$B:$B,$A63,Plant_BD!$AL:$AL))),"")</f>
        <v>0.96199618995205816</v>
      </c>
      <c r="P63" s="219"/>
      <c r="Q63" s="220">
        <f>IFERROR(1-(SUMIF(Grid_BD!$B:$B,$A63,Grid_BD!$V:$V)/($AA63+SUMIF(Grid_BD!$B:$B,$A63,Grid_BD!$V:$V))),"")</f>
        <v>1</v>
      </c>
      <c r="R63" s="219">
        <f>IFERROR(1-(SUMIF(Grid_BD!$B:$B,$A63,Grid_BD!$V:$V)/($AA63+SUMIF(Grid_BD!$B:$B,$A63,Grid_BD!$V:$V))),"")</f>
        <v>1</v>
      </c>
      <c r="S63" s="9"/>
      <c r="T63" s="220"/>
      <c r="U63" s="221">
        <f t="shared" si="6"/>
        <v>0.77203856200740129</v>
      </c>
      <c r="V63" s="221" t="str">
        <f>IFERROR(_xlfn.XLOOKUP($A63,Input_Raw!$A:$A,Input_Raw!$FG:$FG),"")</f>
        <v/>
      </c>
      <c r="W63" s="222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78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22">
        <f>IFERROR(_xlfn.XLOOKUP($D63,'Modelling New'!$D:$D,'Modelling New'!O:O),"")</f>
        <v>0.806597995656121</v>
      </c>
      <c r="AF63" s="222">
        <f>IFERROR(_xlfn.XLOOKUP($D63,'Modelling New'!$D:$D,'Modelling New'!W:W),"")</f>
        <v>0.23157168262385408</v>
      </c>
      <c r="AG63" s="222">
        <f>IFERROR(_xlfn.XLOOKUP($D63,'Modelling New'!$D:$D,'Modelling New'!AE:AE),"")</f>
        <v>0.995</v>
      </c>
      <c r="AH63" s="222">
        <f>IFERROR(_xlfn.XLOOKUP($D63,'Modelling New'!$D:$D,'Modelling New'!AF:AF),"")</f>
        <v>0.995</v>
      </c>
      <c r="AI63" s="9"/>
      <c r="AJ63" s="9"/>
      <c r="AK63" s="245"/>
      <c r="AL63" s="245"/>
      <c r="AM63" s="245"/>
      <c r="AN63" s="219"/>
      <c r="AO63" s="222"/>
      <c r="AP63" s="222"/>
      <c r="AQ63" s="222"/>
      <c r="AR63" s="223">
        <f>_xlfn.XLOOKUP(D63,'Modelling New'!$D:$D,'Modelling New'!$N:$N)</f>
        <v>130</v>
      </c>
      <c r="AS63" s="223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18">
        <f>Table13[[#This Row],[Date]]-DAY(Table13[[#This Row],[Date]])+1</f>
        <v>45778</v>
      </c>
      <c r="E64" s="9">
        <f t="shared" si="5"/>
        <v>31</v>
      </c>
      <c r="F64" s="188">
        <f>IFERROR(_xlfn.XLOOKUP($A64,Input_Raw!$A:$A,Input_Raw!$FC:$FC),"")</f>
        <v>12.400000000000002</v>
      </c>
      <c r="G64" s="189">
        <f>IFERROR(_xlfn.XLOOKUP($A64,Input_Raw!$A:$A,Input_Raw!$CY:$CY),"")</f>
        <v>5.5908978666666691</v>
      </c>
      <c r="H64" s="189">
        <f>IFERROR(_xlfn.XLOOKUP($A64,Input_Raw!$A:$A,Input_Raw!$DA:$DA),"")</f>
        <v>0.82703409166666664</v>
      </c>
      <c r="I64" s="189">
        <f>IFERROR(_xlfn.XLOOKUP($A64,Input_Raw!$A:$A,Input_Raw!$CX:$CX),"")</f>
        <v>5.3922111416666638</v>
      </c>
      <c r="J64" s="189">
        <f>IFERROR(_xlfn.XLOOKUP($A64,Input_Raw!$A:$A,Input_Raw!$CZ:$CZ),"")</f>
        <v>0.63643433333333355</v>
      </c>
      <c r="K64" s="190">
        <f>IFERROR(_xlfn.XLOOKUP($A64,Input_Raw!$A:$A,Input_Raw!$DB:$DB),"")</f>
        <v>30.625556349803126</v>
      </c>
      <c r="L64" s="190">
        <f>IFERROR(_xlfn.XLOOKUP($A64,Input_Raw!$A:$A,Input_Raw!$DC:$DC),"")</f>
        <v>41.244398264871222</v>
      </c>
      <c r="M64" s="189">
        <f>IFERROR(_xlfn.XLOOKUP($A64,Input_Raw!$A:$A,Input_Raw!$DF:$DF),"")</f>
        <v>1.6668485617893514</v>
      </c>
      <c r="N64" s="189">
        <f>IFERROR(_xlfn.XLOOKUP($A64,Input_Raw!$A:$A,Input_Raw!$DG:$DG),"")</f>
        <v>3.2744999999999997</v>
      </c>
      <c r="O64" s="219">
        <f>IFERROR(1-(SUMIF(Plant_BD!$B:$B,$A64,Plant_BD!$AL:$AL)/($AA64+SUMIF(Plant_BD!$B:$B,$A64,Plant_BD!$AL:$AL))),"")</f>
        <v>0.96291233437932133</v>
      </c>
      <c r="P64" s="219"/>
      <c r="Q64" s="220">
        <f>IFERROR(1-(SUMIF(Grid_BD!$B:$B,$A64,Grid_BD!$V:$V)/($AA64+SUMIF(Grid_BD!$B:$B,$A64,Grid_BD!$V:$V))),"")</f>
        <v>1</v>
      </c>
      <c r="R64" s="219">
        <f>IFERROR(1-(SUMIF(Grid_BD!$B:$B,$A64,Grid_BD!$V:$V)/($AA64+SUMIF(Grid_BD!$B:$B,$A64,Grid_BD!$V:$V))),"")</f>
        <v>1</v>
      </c>
      <c r="S64" s="9"/>
      <c r="T64" s="220"/>
      <c r="U64" s="221">
        <f t="shared" si="6"/>
        <v>0.79186296359054364</v>
      </c>
      <c r="V64" s="221" t="str">
        <f>IFERROR(_xlfn.XLOOKUP($A64,Input_Raw!$A:$A,Input_Raw!$FG:$FG),"")</f>
        <v/>
      </c>
      <c r="W64" s="222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78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22">
        <f>IFERROR(_xlfn.XLOOKUP($D64,'Modelling New'!$D:$D,'Modelling New'!O:O),"")</f>
        <v>0.806597995656121</v>
      </c>
      <c r="AF64" s="222">
        <f>IFERROR(_xlfn.XLOOKUP($D64,'Modelling New'!$D:$D,'Modelling New'!W:W),"")</f>
        <v>0.23157168262385408</v>
      </c>
      <c r="AG64" s="222">
        <f>IFERROR(_xlfn.XLOOKUP($D64,'Modelling New'!$D:$D,'Modelling New'!AE:AE),"")</f>
        <v>0.995</v>
      </c>
      <c r="AH64" s="222">
        <f>IFERROR(_xlfn.XLOOKUP($D64,'Modelling New'!$D:$D,'Modelling New'!AF:AF),"")</f>
        <v>0.995</v>
      </c>
      <c r="AI64" s="9"/>
      <c r="AJ64" s="9"/>
      <c r="AK64" s="245"/>
      <c r="AL64" s="245"/>
      <c r="AM64" s="245"/>
      <c r="AN64" s="219"/>
      <c r="AO64" s="222"/>
      <c r="AP64" s="222"/>
      <c r="AQ64" s="222"/>
      <c r="AR64" s="223">
        <f>_xlfn.XLOOKUP(D64,'Modelling New'!$D:$D,'Modelling New'!$N:$N)</f>
        <v>130</v>
      </c>
      <c r="AS64" s="223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18">
        <f>Table13[[#This Row],[Date]]-DAY(Table13[[#This Row],[Date]])+1</f>
        <v>45778</v>
      </c>
      <c r="E65" s="9">
        <f t="shared" si="5"/>
        <v>31</v>
      </c>
      <c r="F65" s="188">
        <f>IFERROR(_xlfn.XLOOKUP($A65,Input_Raw!$A:$A,Input_Raw!$FC:$FC),"")</f>
        <v>12.833333333333332</v>
      </c>
      <c r="G65" s="178">
        <f>IFERROR(_xlfn.XLOOKUP($A65,Input_Raw!$A:$A,Input_Raw!$CY:$CY),"")</f>
        <v>7.2675136583333311</v>
      </c>
      <c r="H65" s="178">
        <f>IFERROR(_xlfn.XLOOKUP($A65,Input_Raw!$A:$A,Input_Raw!$DA:$DA),"")</f>
        <v>1.1054926916666656</v>
      </c>
      <c r="I65" s="178">
        <f>IFERROR(_xlfn.XLOOKUP($A65,Input_Raw!$A:$A,Input_Raw!$CX:$CX),"")</f>
        <v>7.0123685166666618</v>
      </c>
      <c r="J65" s="178">
        <f>IFERROR(_xlfn.XLOOKUP($A65,Input_Raw!$A:$A,Input_Raw!$CZ:$CZ),"")</f>
        <v>0.8618371916666665</v>
      </c>
      <c r="K65" s="190">
        <f>IFERROR(_xlfn.XLOOKUP($A65,Input_Raw!$A:$A,Input_Raw!$DB:$DB),"")</f>
        <v>31.269463035572205</v>
      </c>
      <c r="L65" s="190">
        <f>IFERROR(_xlfn.XLOOKUP($A65,Input_Raw!$A:$A,Input_Raw!$DC:$DC),"")</f>
        <v>43.527358278402836</v>
      </c>
      <c r="M65" s="189">
        <f>IFERROR(_xlfn.XLOOKUP($A65,Input_Raw!$A:$A,Input_Raw!$DF:$DF),"")</f>
        <v>1.8753166070007974</v>
      </c>
      <c r="N65" s="189">
        <f>IFERROR(_xlfn.XLOOKUP($A65,Input_Raw!$A:$A,Input_Raw!$DG:$DG),"")</f>
        <v>3.8775000000000004</v>
      </c>
      <c r="O65" s="219">
        <f>IFERROR(1-(SUMIF(Plant_BD!$B:$B,$A65,Plant_BD!$AL:$AL)/($AA65+SUMIF(Plant_BD!$B:$B,$A65,Plant_BD!$AL:$AL))),"")</f>
        <v>0.96207391441463963</v>
      </c>
      <c r="P65" s="219"/>
      <c r="Q65" s="220">
        <f>IFERROR(1-(SUMIF(Grid_BD!$B:$B,$A65,Grid_BD!$V:$V)/($AA65+SUMIF(Grid_BD!$B:$B,$A65,Grid_BD!$V:$V))),"")</f>
        <v>1</v>
      </c>
      <c r="R65" s="219">
        <f>IFERROR(1-(SUMIF(Grid_BD!$B:$B,$A65,Grid_BD!$V:$V)/($AA65+SUMIF(Grid_BD!$B:$B,$A65,Grid_BD!$V:$V))),"")</f>
        <v>1</v>
      </c>
      <c r="S65" s="9"/>
      <c r="T65" s="220"/>
      <c r="U65" s="221">
        <f t="shared" si="6"/>
        <v>0.77368325691689022</v>
      </c>
      <c r="V65" s="221" t="str">
        <f>IFERROR(_xlfn.XLOOKUP($A65,Input_Raw!$A:$A,Input_Raw!$FG:$FG),"")</f>
        <v/>
      </c>
      <c r="W65" s="222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78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22">
        <f>IFERROR(_xlfn.XLOOKUP($D65,'Modelling New'!$D:$D,'Modelling New'!O:O),"")</f>
        <v>0.806597995656121</v>
      </c>
      <c r="AF65" s="222">
        <f>IFERROR(_xlfn.XLOOKUP($D65,'Modelling New'!$D:$D,'Modelling New'!W:W),"")</f>
        <v>0.23157168262385408</v>
      </c>
      <c r="AG65" s="222">
        <f>IFERROR(_xlfn.XLOOKUP($D65,'Modelling New'!$D:$D,'Modelling New'!AE:AE),"")</f>
        <v>0.995</v>
      </c>
      <c r="AH65" s="222">
        <f>IFERROR(_xlfn.XLOOKUP($D65,'Modelling New'!$D:$D,'Modelling New'!AF:AF),"")</f>
        <v>0.995</v>
      </c>
      <c r="AI65" s="9"/>
      <c r="AJ65" s="9"/>
      <c r="AK65" s="245"/>
      <c r="AL65" s="245"/>
      <c r="AM65" s="245"/>
      <c r="AN65" s="219"/>
      <c r="AO65" s="222"/>
      <c r="AP65" s="222"/>
      <c r="AQ65" s="222"/>
      <c r="AR65" s="223">
        <f>_xlfn.XLOOKUP(D65,'Modelling New'!$D:$D,'Modelling New'!$N:$N)</f>
        <v>130</v>
      </c>
      <c r="AS65" s="223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18">
        <f>Table13[[#This Row],[Date]]-DAY(Table13[[#This Row],[Date]])+1</f>
        <v>45809</v>
      </c>
      <c r="E66" s="9">
        <f t="shared" si="5"/>
        <v>30</v>
      </c>
      <c r="F66" s="188">
        <f>IFERROR(_xlfn.XLOOKUP($A66,Input_Raw!$A:$A,Input_Raw!$FC:$FC),"")</f>
        <v>12.766666666666666</v>
      </c>
      <c r="G66" s="189">
        <f>IFERROR(_xlfn.XLOOKUP($A66,Input_Raw!$A:$A,Input_Raw!$CY:$CY),"")</f>
        <v>6.7692399416666653</v>
      </c>
      <c r="H66" s="189">
        <f>IFERROR(_xlfn.XLOOKUP($A66,Input_Raw!$A:$A,Input_Raw!$DA:$DA),"")</f>
        <v>1.0381673500000002</v>
      </c>
      <c r="I66" s="189">
        <f>IFERROR(_xlfn.XLOOKUP($A66,Input_Raw!$A:$A,Input_Raw!$CX:$CX),"")</f>
        <v>6.493747975000014</v>
      </c>
      <c r="J66" s="189">
        <f>IFERROR(_xlfn.XLOOKUP($A66,Input_Raw!$A:$A,Input_Raw!$CZ:$CZ),"")</f>
        <v>0.806364566666667</v>
      </c>
      <c r="K66" s="190">
        <f>IFERROR(_xlfn.XLOOKUP($A66,Input_Raw!$A:$A,Input_Raw!$DB:$DB),"")</f>
        <v>31.093324034542</v>
      </c>
      <c r="L66" s="190">
        <f>IFERROR(_xlfn.XLOOKUP($A66,Input_Raw!$A:$A,Input_Raw!$DC:$DC),"")</f>
        <v>45.248843960823379</v>
      </c>
      <c r="M66" s="189">
        <f>IFERROR(_xlfn.XLOOKUP($A66,Input_Raw!$A:$A,Input_Raw!$DF:$DF),"")</f>
        <v>1.7245391588267145</v>
      </c>
      <c r="N66" s="189">
        <f>IFERROR(_xlfn.XLOOKUP($A66,Input_Raw!$A:$A,Input_Raw!$DG:$DG),"")</f>
        <v>3.831</v>
      </c>
      <c r="O66" s="219">
        <f>IFERROR(1-(SUMIF(Plant_BD!$B:$B,$A66,Plant_BD!$AL:$AL)/($AA66+SUMIF(Plant_BD!$B:$B,$A66,Plant_BD!$AL:$AL))),"")</f>
        <v>0.42255955324124606</v>
      </c>
      <c r="P66" s="219"/>
      <c r="Q66" s="220">
        <f>IFERROR(1-(SUMIF(Grid_BD!$B:$B,$A66,Grid_BD!$V:$V)/($AA66+SUMIF(Grid_BD!$B:$B,$A66,Grid_BD!$V:$V))),"")</f>
        <v>0.40530095835738755</v>
      </c>
      <c r="R66" s="219">
        <f>IFERROR(1-(SUMIF(Grid_BD!$B:$B,$A66,Grid_BD!$V:$V)/($AA66+SUMIF(Grid_BD!$B:$B,$A66,Grid_BD!$V:$V))),"")</f>
        <v>0.40530095835738755</v>
      </c>
      <c r="S66" s="9"/>
      <c r="T66" s="220"/>
      <c r="U66" s="221">
        <f t="shared" si="6"/>
        <v>0.33758810852311266</v>
      </c>
      <c r="V66" s="221" t="str">
        <f>IFERROR(_xlfn.XLOOKUP($A66,Input_Raw!$A:$A,Input_Raw!$FG:$FG),"")</f>
        <v/>
      </c>
      <c r="W66" s="222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78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22">
        <f>IFERROR(_xlfn.XLOOKUP($D66,'Modelling New'!$D:$D,'Modelling New'!O:O),"")</f>
        <v>0.84205181214283342</v>
      </c>
      <c r="AF66" s="222">
        <f>IFERROR(_xlfn.XLOOKUP($D66,'Modelling New'!$D:$D,'Modelling New'!W:W),"")</f>
        <v>0.17437489609791174</v>
      </c>
      <c r="AG66" s="222">
        <f>IFERROR(_xlfn.XLOOKUP($D66,'Modelling New'!$D:$D,'Modelling New'!AE:AE),"")</f>
        <v>0.995</v>
      </c>
      <c r="AH66" s="222">
        <f>IFERROR(_xlfn.XLOOKUP($D66,'Modelling New'!$D:$D,'Modelling New'!AF:AF),"")</f>
        <v>0.995</v>
      </c>
      <c r="AI66" s="9"/>
      <c r="AJ66" s="9"/>
      <c r="AK66" s="245"/>
      <c r="AL66" s="245"/>
      <c r="AM66" s="245"/>
      <c r="AN66" s="219"/>
      <c r="AO66" s="222"/>
      <c r="AP66" s="222"/>
      <c r="AQ66" s="222"/>
      <c r="AR66" s="223">
        <f>_xlfn.XLOOKUP(D66,'Modelling New'!$D:$D,'Modelling New'!$N:$N)</f>
        <v>130</v>
      </c>
      <c r="AS66" s="223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18">
        <f>Table13[[#This Row],[Date]]-DAY(Table13[[#This Row],[Date]])+1</f>
        <v>45809</v>
      </c>
      <c r="E67" s="9">
        <f t="shared" si="5"/>
        <v>30</v>
      </c>
      <c r="F67" s="188">
        <f>IFERROR(_xlfn.XLOOKUP($A67,Input_Raw!$A:$A,Input_Raw!$FC:$FC),"")</f>
        <v>12.666666666666668</v>
      </c>
      <c r="G67" s="178">
        <f>IFERROR(_xlfn.XLOOKUP($A67,Input_Raw!$A:$A,Input_Raw!$CY:$CY),"")</f>
        <v>7.0219489750000044</v>
      </c>
      <c r="H67" s="178">
        <f>IFERROR(_xlfn.XLOOKUP($A67,Input_Raw!$A:$A,Input_Raw!$DA:$DA),"")</f>
        <v>1.0898763083333334</v>
      </c>
      <c r="I67" s="178">
        <f>IFERROR(_xlfn.XLOOKUP($A67,Input_Raw!$A:$A,Input_Raw!$CX:$CX),"")</f>
        <v>6.7173931833333285</v>
      </c>
      <c r="J67" s="178">
        <f>IFERROR(_xlfn.XLOOKUP($A67,Input_Raw!$A:$A,Input_Raw!$CZ:$CZ),"")</f>
        <v>0.87432039166666597</v>
      </c>
      <c r="K67" s="190">
        <f>IFERROR(_xlfn.XLOOKUP($A67,Input_Raw!$A:$A,Input_Raw!$DB:$DB),"")</f>
        <v>31.057029657846712</v>
      </c>
      <c r="L67" s="190">
        <f>IFERROR(_xlfn.XLOOKUP($A67,Input_Raw!$A:$A,Input_Raw!$DC:$DC),"")</f>
        <v>44.380076954483783</v>
      </c>
      <c r="M67" s="189">
        <f>IFERROR(_xlfn.XLOOKUP($A67,Input_Raw!$A:$A,Input_Raw!$DF:$DF),"")</f>
        <v>1.666497183851571</v>
      </c>
      <c r="N67" s="189">
        <f>IFERROR(_xlfn.XLOOKUP($A67,Input_Raw!$A:$A,Input_Raw!$DG:$DG),"")</f>
        <v>3.2984999999999998</v>
      </c>
      <c r="O67" s="219">
        <f>IFERROR(1-(SUMIF(Plant_BD!$B:$B,$A67,Plant_BD!$AL:$AL)/($AA67+SUMIF(Plant_BD!$B:$B,$A67,Plant_BD!$AL:$AL))),"")</f>
        <v>1</v>
      </c>
      <c r="P67" s="219"/>
      <c r="Q67" s="220">
        <f>IFERROR(1-(SUMIF(Grid_BD!$B:$B,$A67,Grid_BD!$V:$V)/($AA67+SUMIF(Grid_BD!$B:$B,$A67,Grid_BD!$V:$V))),"")</f>
        <v>1</v>
      </c>
      <c r="R67" s="219">
        <f>IFERROR(1-(SUMIF(Grid_BD!$B:$B,$A67,Grid_BD!$V:$V)/($AA67+SUMIF(Grid_BD!$B:$B,$A67,Grid_BD!$V:$V))),"")</f>
        <v>1</v>
      </c>
      <c r="S67" s="9"/>
      <c r="T67" s="220"/>
      <c r="U67" s="221">
        <f t="shared" si="6"/>
        <v>0.7491366217192843</v>
      </c>
      <c r="V67" s="221" t="str">
        <f>IFERROR(_xlfn.XLOOKUP($A67,Input_Raw!$A:$A,Input_Raw!$FG:$FG),"")</f>
        <v/>
      </c>
      <c r="W67" s="222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78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22">
        <f>IFERROR(_xlfn.XLOOKUP($D67,'Modelling New'!$D:$D,'Modelling New'!O:O),"")</f>
        <v>0.84205181214283342</v>
      </c>
      <c r="AF67" s="222">
        <f>IFERROR(_xlfn.XLOOKUP($D67,'Modelling New'!$D:$D,'Modelling New'!W:W),"")</f>
        <v>0.17437489609791174</v>
      </c>
      <c r="AG67" s="222">
        <f>IFERROR(_xlfn.XLOOKUP($D67,'Modelling New'!$D:$D,'Modelling New'!AE:AE),"")</f>
        <v>0.995</v>
      </c>
      <c r="AH67" s="222">
        <f>IFERROR(_xlfn.XLOOKUP($D67,'Modelling New'!$D:$D,'Modelling New'!AF:AF),"")</f>
        <v>0.995</v>
      </c>
      <c r="AI67" s="9"/>
      <c r="AJ67" s="9"/>
      <c r="AK67" s="245"/>
      <c r="AL67" s="245"/>
      <c r="AM67" s="245"/>
      <c r="AN67" s="219"/>
      <c r="AO67" s="222"/>
      <c r="AP67" s="222"/>
      <c r="AQ67" s="222"/>
      <c r="AR67" s="223">
        <f>_xlfn.XLOOKUP(D67,'Modelling New'!$D:$D,'Modelling New'!$N:$N)</f>
        <v>130</v>
      </c>
      <c r="AS67" s="223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18">
        <f>Table13[[#This Row],[Date]]-DAY(Table13[[#This Row],[Date]])+1</f>
        <v>45809</v>
      </c>
      <c r="E68" s="9">
        <f t="shared" si="5"/>
        <v>30</v>
      </c>
      <c r="F68" s="188">
        <f>IFERROR(_xlfn.XLOOKUP($A68,Input_Raw!$A:$A,Input_Raw!$FC:$FC),"")</f>
        <v>12.65</v>
      </c>
      <c r="G68" s="189">
        <f>IFERROR(_xlfn.XLOOKUP($A68,Input_Raw!$A:$A,Input_Raw!$CY:$CY),"")</f>
        <v>6.5985606749999945</v>
      </c>
      <c r="H68" s="189">
        <f>IFERROR(_xlfn.XLOOKUP($A68,Input_Raw!$A:$A,Input_Raw!$DA:$DA),"")</f>
        <v>1.0414837833333332</v>
      </c>
      <c r="I68" s="189">
        <f>IFERROR(_xlfn.XLOOKUP($A68,Input_Raw!$A:$A,Input_Raw!$CX:$CX),"")</f>
        <v>6.2993572666666671</v>
      </c>
      <c r="J68" s="189">
        <f>IFERROR(_xlfn.XLOOKUP($A68,Input_Raw!$A:$A,Input_Raw!$CZ:$CZ),"")</f>
        <v>0.83345265833333237</v>
      </c>
      <c r="K68" s="190">
        <f>IFERROR(_xlfn.XLOOKUP($A68,Input_Raw!$A:$A,Input_Raw!$DB:$DB),"")</f>
        <v>30.885080437781902</v>
      </c>
      <c r="L68" s="190">
        <f>IFERROR(_xlfn.XLOOKUP($A68,Input_Raw!$A:$A,Input_Raw!$DC:$DC),"")</f>
        <v>42.526407222069111</v>
      </c>
      <c r="M68" s="189">
        <f>IFERROR(_xlfn.XLOOKUP($A68,Input_Raw!$A:$A,Input_Raw!$DF:$DF),"")</f>
        <v>1.7956576993172271</v>
      </c>
      <c r="N68" s="189">
        <f>IFERROR(_xlfn.XLOOKUP($A68,Input_Raw!$A:$A,Input_Raw!$DG:$DG),"")</f>
        <v>3.6509999999999998</v>
      </c>
      <c r="O68" s="219">
        <f>IFERROR(1-(SUMIF(Plant_BD!$B:$B,$A68,Plant_BD!$AL:$AL)/($AA68+SUMIF(Plant_BD!$B:$B,$A68,Plant_BD!$AL:$AL))),"")</f>
        <v>0.99995385488677169</v>
      </c>
      <c r="P68" s="219"/>
      <c r="Q68" s="220">
        <f>IFERROR(1-(SUMIF(Grid_BD!$B:$B,$A68,Grid_BD!$V:$V)/($AA68+SUMIF(Grid_BD!$B:$B,$A68,Grid_BD!$V:$V))),"")</f>
        <v>1</v>
      </c>
      <c r="R68" s="219">
        <f>IFERROR(1-(SUMIF(Grid_BD!$B:$B,$A68,Grid_BD!$V:$V)/($AA68+SUMIF(Grid_BD!$B:$B,$A68,Grid_BD!$V:$V))),"")</f>
        <v>1</v>
      </c>
      <c r="S68" s="9"/>
      <c r="T68" s="220"/>
      <c r="U68" s="221">
        <f t="shared" si="6"/>
        <v>0.78350058796730648</v>
      </c>
      <c r="V68" s="221" t="str">
        <f>IFERROR(_xlfn.XLOOKUP($A68,Input_Raw!$A:$A,Input_Raw!$FG:$FG),"")</f>
        <v/>
      </c>
      <c r="W68" s="222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78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22">
        <f>IFERROR(_xlfn.XLOOKUP($D68,'Modelling New'!$D:$D,'Modelling New'!O:O),"")</f>
        <v>0.84205181214283342</v>
      </c>
      <c r="AF68" s="222">
        <f>IFERROR(_xlfn.XLOOKUP($D68,'Modelling New'!$D:$D,'Modelling New'!W:W),"")</f>
        <v>0.17437489609791174</v>
      </c>
      <c r="AG68" s="222">
        <f>IFERROR(_xlfn.XLOOKUP($D68,'Modelling New'!$D:$D,'Modelling New'!AE:AE),"")</f>
        <v>0.995</v>
      </c>
      <c r="AH68" s="222">
        <f>IFERROR(_xlfn.XLOOKUP($D68,'Modelling New'!$D:$D,'Modelling New'!AF:AF),"")</f>
        <v>0.995</v>
      </c>
      <c r="AI68" s="9"/>
      <c r="AJ68" s="9"/>
      <c r="AK68" s="245"/>
      <c r="AL68" s="245"/>
      <c r="AM68" s="245"/>
      <c r="AN68" s="219"/>
      <c r="AO68" s="222"/>
      <c r="AP68" s="222"/>
      <c r="AQ68" s="222"/>
      <c r="AR68" s="223">
        <f>_xlfn.XLOOKUP(D68,'Modelling New'!$D:$D,'Modelling New'!$N:$N)</f>
        <v>130</v>
      </c>
      <c r="AS68" s="223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18">
        <f>Table13[[#This Row],[Date]]-DAY(Table13[[#This Row],[Date]])+1</f>
        <v>45809</v>
      </c>
      <c r="E69" s="9">
        <f t="shared" si="5"/>
        <v>30</v>
      </c>
      <c r="F69" s="188">
        <f>IFERROR(_xlfn.XLOOKUP($A69,Input_Raw!$A:$A,Input_Raw!$FC:$FC),"")</f>
        <v>12.65</v>
      </c>
      <c r="G69" s="178">
        <f>IFERROR(_xlfn.XLOOKUP($A69,Input_Raw!$A:$A,Input_Raw!$CY:$CY),"")</f>
        <v>6.5699017833333357</v>
      </c>
      <c r="H69" s="178">
        <f>IFERROR(_xlfn.XLOOKUP($A69,Input_Raw!$A:$A,Input_Raw!$DA:$DA),"")</f>
        <v>1.0372255666666674</v>
      </c>
      <c r="I69" s="178">
        <f>IFERROR(_xlfn.XLOOKUP($A69,Input_Raw!$A:$A,Input_Raw!$CX:$CX),"")</f>
        <v>6.2918486750000024</v>
      </c>
      <c r="J69" s="178">
        <f>IFERROR(_xlfn.XLOOKUP($A69,Input_Raw!$A:$A,Input_Raw!$CZ:$CZ),"")</f>
        <v>0.83294176666666675</v>
      </c>
      <c r="K69" s="190">
        <f>IFERROR(_xlfn.XLOOKUP($A69,Input_Raw!$A:$A,Input_Raw!$DB:$DB),"")</f>
        <v>30.282020360473169</v>
      </c>
      <c r="L69" s="190">
        <f>IFERROR(_xlfn.XLOOKUP($A69,Input_Raw!$A:$A,Input_Raw!$DC:$DC),"")</f>
        <v>43.583758445583122</v>
      </c>
      <c r="M69" s="189">
        <f>IFERROR(_xlfn.XLOOKUP($A69,Input_Raw!$A:$A,Input_Raw!$DF:$DF),"")</f>
        <v>1.1870609252135982</v>
      </c>
      <c r="N69" s="189">
        <f>IFERROR(_xlfn.XLOOKUP($A69,Input_Raw!$A:$A,Input_Raw!$DG:$DG),"")</f>
        <v>3.2489999999999997</v>
      </c>
      <c r="O69" s="219">
        <f>IFERROR(1-(SUMIF(Plant_BD!$B:$B,$A69,Plant_BD!$AL:$AL)/($AA69+SUMIF(Plant_BD!$B:$B,$A69,Plant_BD!$AL:$AL))),"")</f>
        <v>0.99995982657185589</v>
      </c>
      <c r="P69" s="219"/>
      <c r="Q69" s="220">
        <f>IFERROR(1-(SUMIF(Grid_BD!$B:$B,$A69,Grid_BD!$V:$V)/($AA69+SUMIF(Grid_BD!$B:$B,$A69,Grid_BD!$V:$V))),"")</f>
        <v>1</v>
      </c>
      <c r="R69" s="219">
        <f>IFERROR(1-(SUMIF(Grid_BD!$B:$B,$A69,Grid_BD!$V:$V)/($AA69+SUMIF(Grid_BD!$B:$B,$A69,Grid_BD!$V:$V))),"")</f>
        <v>1</v>
      </c>
      <c r="S69" s="9"/>
      <c r="T69" s="220"/>
      <c r="U69" s="221">
        <f t="shared" si="6"/>
        <v>0.76279857492503178</v>
      </c>
      <c r="V69" s="221" t="str">
        <f>IFERROR(_xlfn.XLOOKUP($A69,Input_Raw!$A:$A,Input_Raw!$FG:$FG),"")</f>
        <v/>
      </c>
      <c r="W69" s="222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78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22">
        <f>IFERROR(_xlfn.XLOOKUP($D69,'Modelling New'!$D:$D,'Modelling New'!O:O),"")</f>
        <v>0.84205181214283342</v>
      </c>
      <c r="AF69" s="222">
        <f>IFERROR(_xlfn.XLOOKUP($D69,'Modelling New'!$D:$D,'Modelling New'!W:W),"")</f>
        <v>0.17437489609791174</v>
      </c>
      <c r="AG69" s="222">
        <f>IFERROR(_xlfn.XLOOKUP($D69,'Modelling New'!$D:$D,'Modelling New'!AE:AE),"")</f>
        <v>0.995</v>
      </c>
      <c r="AH69" s="222">
        <f>IFERROR(_xlfn.XLOOKUP($D69,'Modelling New'!$D:$D,'Modelling New'!AF:AF),"")</f>
        <v>0.995</v>
      </c>
      <c r="AI69" s="9"/>
      <c r="AJ69" s="9"/>
      <c r="AK69" s="245"/>
      <c r="AL69" s="245"/>
      <c r="AM69" s="245"/>
      <c r="AN69" s="219"/>
      <c r="AO69" s="222"/>
      <c r="AP69" s="222"/>
      <c r="AQ69" s="222"/>
      <c r="AR69" s="223">
        <f>_xlfn.XLOOKUP(D69,'Modelling New'!$D:$D,'Modelling New'!$N:$N)</f>
        <v>130</v>
      </c>
      <c r="AS69" s="223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18">
        <f>Table13[[#This Row],[Date]]-DAY(Table13[[#This Row],[Date]])+1</f>
        <v>45809</v>
      </c>
      <c r="E70" s="9">
        <f t="shared" si="5"/>
        <v>30</v>
      </c>
      <c r="F70" s="188">
        <f>IFERROR(_xlfn.XLOOKUP($A70,Input_Raw!$A:$A,Input_Raw!$FC:$FC),"")</f>
        <v>12.533333333333335</v>
      </c>
      <c r="G70" s="189">
        <f>IFERROR(_xlfn.XLOOKUP($A70,Input_Raw!$A:$A,Input_Raw!$CY:$CY),"")</f>
        <v>6.5917211166666672</v>
      </c>
      <c r="H70" s="189">
        <f>IFERROR(_xlfn.XLOOKUP($A70,Input_Raw!$A:$A,Input_Raw!$DA:$DA),"")</f>
        <v>1.0270025250000001</v>
      </c>
      <c r="I70" s="189">
        <f>IFERROR(_xlfn.XLOOKUP($A70,Input_Raw!$A:$A,Input_Raw!$CX:$CX),"")</f>
        <v>6.2965364250000029</v>
      </c>
      <c r="J70" s="189">
        <f>IFERROR(_xlfn.XLOOKUP($A70,Input_Raw!$A:$A,Input_Raw!$CZ:$CZ),"")</f>
        <v>0.83163194166666665</v>
      </c>
      <c r="K70" s="190">
        <f>IFERROR(_xlfn.XLOOKUP($A70,Input_Raw!$A:$A,Input_Raw!$DB:$DB),"")</f>
        <v>29.909802423105514</v>
      </c>
      <c r="L70" s="190">
        <f>IFERROR(_xlfn.XLOOKUP($A70,Input_Raw!$A:$A,Input_Raw!$DC:$DC),"")</f>
        <v>43.463974574492667</v>
      </c>
      <c r="M70" s="189">
        <f>IFERROR(_xlfn.XLOOKUP($A70,Input_Raw!$A:$A,Input_Raw!$DF:$DF),"")</f>
        <v>0.98651597482581943</v>
      </c>
      <c r="N70" s="189">
        <f>IFERROR(_xlfn.XLOOKUP($A70,Input_Raw!$A:$A,Input_Raw!$DG:$DG),"")</f>
        <v>2.9355000000000002</v>
      </c>
      <c r="O70" s="219">
        <f>IFERROR(1-(SUMIF(Plant_BD!$B:$B,$A70,Plant_BD!$AL:$AL)/($AA70+SUMIF(Plant_BD!$B:$B,$A70,Plant_BD!$AL:$AL))),"")</f>
        <v>1</v>
      </c>
      <c r="P70" s="219"/>
      <c r="Q70" s="220">
        <f>IFERROR(1-(SUMIF(Grid_BD!$B:$B,$A70,Grid_BD!$V:$V)/($AA70+SUMIF(Grid_BD!$B:$B,$A70,Grid_BD!$V:$V))),"")</f>
        <v>1</v>
      </c>
      <c r="R70" s="219">
        <f>IFERROR(1-(SUMIF(Grid_BD!$B:$B,$A70,Grid_BD!$V:$V)/($AA70+SUMIF(Grid_BD!$B:$B,$A70,Grid_BD!$V:$V))),"")</f>
        <v>1</v>
      </c>
      <c r="S70" s="9"/>
      <c r="T70" s="220"/>
      <c r="U70" s="221">
        <f t="shared" si="6"/>
        <v>0.81358036236693398</v>
      </c>
      <c r="V70" s="221" t="str">
        <f>IFERROR(_xlfn.XLOOKUP($A70,Input_Raw!$A:$A,Input_Raw!$FG:$FG),"")</f>
        <v/>
      </c>
      <c r="W70" s="222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78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22">
        <f>IFERROR(_xlfn.XLOOKUP($D70,'Modelling New'!$D:$D,'Modelling New'!O:O),"")</f>
        <v>0.84205181214283342</v>
      </c>
      <c r="AF70" s="222">
        <f>IFERROR(_xlfn.XLOOKUP($D70,'Modelling New'!$D:$D,'Modelling New'!W:W),"")</f>
        <v>0.17437489609791174</v>
      </c>
      <c r="AG70" s="222">
        <f>IFERROR(_xlfn.XLOOKUP($D70,'Modelling New'!$D:$D,'Modelling New'!AE:AE),"")</f>
        <v>0.995</v>
      </c>
      <c r="AH70" s="222">
        <f>IFERROR(_xlfn.XLOOKUP($D70,'Modelling New'!$D:$D,'Modelling New'!AF:AF),"")</f>
        <v>0.995</v>
      </c>
      <c r="AI70" s="9"/>
      <c r="AJ70" s="9"/>
      <c r="AK70" s="245"/>
      <c r="AL70" s="245"/>
      <c r="AM70" s="245"/>
      <c r="AN70" s="219"/>
      <c r="AO70" s="222"/>
      <c r="AP70" s="222"/>
      <c r="AQ70" s="222"/>
      <c r="AR70" s="223">
        <f>_xlfn.XLOOKUP(D70,'Modelling New'!$D:$D,'Modelling New'!$N:$N)</f>
        <v>130</v>
      </c>
      <c r="AS70" s="223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18">
        <f>Table13[[#This Row],[Date]]-DAY(Table13[[#This Row],[Date]])+1</f>
        <v>45809</v>
      </c>
      <c r="E71" s="9">
        <f t="shared" si="5"/>
        <v>30</v>
      </c>
      <c r="F71" s="188">
        <f>IFERROR(_xlfn.XLOOKUP($A71,Input_Raw!$A:$A,Input_Raw!$FC:$FC),"")</f>
        <v>12.483333333333334</v>
      </c>
      <c r="G71" s="178">
        <f>IFERROR(_xlfn.XLOOKUP($A71,Input_Raw!$A:$A,Input_Raw!$CY:$CY),"")</f>
        <v>6.5675335499999923</v>
      </c>
      <c r="H71" s="178">
        <f>IFERROR(_xlfn.XLOOKUP($A71,Input_Raw!$A:$A,Input_Raw!$DA:$DA),"")</f>
        <v>1.051207716666666</v>
      </c>
      <c r="I71" s="178">
        <f>IFERROR(_xlfn.XLOOKUP($A71,Input_Raw!$A:$A,Input_Raw!$CX:$CX),"")</f>
        <v>6.2742636083333334</v>
      </c>
      <c r="J71" s="178">
        <f>IFERROR(_xlfn.XLOOKUP($A71,Input_Raw!$A:$A,Input_Raw!$CZ:$CZ),"")</f>
        <v>3.6134784833333273</v>
      </c>
      <c r="K71" s="190">
        <f>IFERROR(_xlfn.XLOOKUP($A71,Input_Raw!$A:$A,Input_Raw!$DB:$DB),"")</f>
        <v>32.00739104745648</v>
      </c>
      <c r="L71" s="190">
        <f>IFERROR(_xlfn.XLOOKUP($A71,Input_Raw!$A:$A,Input_Raw!$DC:$DC),"")</f>
        <v>44.284493395337456</v>
      </c>
      <c r="M71" s="189">
        <f>IFERROR(_xlfn.XLOOKUP($A71,Input_Raw!$A:$A,Input_Raw!$DF:$DF),"")</f>
        <v>1.2471338239532641</v>
      </c>
      <c r="N71" s="189">
        <f>IFERROR(_xlfn.XLOOKUP($A71,Input_Raw!$A:$A,Input_Raw!$DG:$DG),"")</f>
        <v>2.8215000000000003</v>
      </c>
      <c r="O71" s="219">
        <f>IFERROR(1-(SUMIF(Plant_BD!$B:$B,$A71,Plant_BD!$AL:$AL)/($AA71+SUMIF(Plant_BD!$B:$B,$A71,Plant_BD!$AL:$AL))),"")</f>
        <v>1</v>
      </c>
      <c r="P71" s="219"/>
      <c r="Q71" s="220">
        <f>IFERROR(1-(SUMIF(Grid_BD!$B:$B,$A71,Grid_BD!$V:$V)/($AA71+SUMIF(Grid_BD!$B:$B,$A71,Grid_BD!$V:$V))),"")</f>
        <v>1</v>
      </c>
      <c r="R71" s="219">
        <f>IFERROR(1-(SUMIF(Grid_BD!$B:$B,$A71,Grid_BD!$V:$V)/($AA71+SUMIF(Grid_BD!$B:$B,$A71,Grid_BD!$V:$V))),"")</f>
        <v>1</v>
      </c>
      <c r="S71" s="9"/>
      <c r="T71" s="220"/>
      <c r="U71" s="221">
        <f t="shared" si="6"/>
        <v>0.80814479020265506</v>
      </c>
      <c r="V71" s="221" t="str">
        <f>IFERROR(_xlfn.XLOOKUP($A71,Input_Raw!$A:$A,Input_Raw!$FG:$FG),"")</f>
        <v/>
      </c>
      <c r="W71" s="222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78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22">
        <f>IFERROR(_xlfn.XLOOKUP($D71,'Modelling New'!$D:$D,'Modelling New'!O:O),"")</f>
        <v>0.84205181214283342</v>
      </c>
      <c r="AF71" s="222">
        <f>IFERROR(_xlfn.XLOOKUP($D71,'Modelling New'!$D:$D,'Modelling New'!W:W),"")</f>
        <v>0.17437489609791174</v>
      </c>
      <c r="AG71" s="222">
        <f>IFERROR(_xlfn.XLOOKUP($D71,'Modelling New'!$D:$D,'Modelling New'!AE:AE),"")</f>
        <v>0.995</v>
      </c>
      <c r="AH71" s="222">
        <f>IFERROR(_xlfn.XLOOKUP($D71,'Modelling New'!$D:$D,'Modelling New'!AF:AF),"")</f>
        <v>0.995</v>
      </c>
      <c r="AI71" s="9"/>
      <c r="AJ71" s="9"/>
      <c r="AK71" s="245"/>
      <c r="AL71" s="245"/>
      <c r="AM71" s="245"/>
      <c r="AN71" s="219"/>
      <c r="AO71" s="222"/>
      <c r="AP71" s="222"/>
      <c r="AQ71" s="222"/>
      <c r="AR71" s="223">
        <f>_xlfn.XLOOKUP(D71,'Modelling New'!$D:$D,'Modelling New'!$N:$N)</f>
        <v>130</v>
      </c>
      <c r="AS71" s="223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18">
        <f>Table13[[#This Row],[Date]]-DAY(Table13[[#This Row],[Date]])+1</f>
        <v>45809</v>
      </c>
      <c r="E72" s="9">
        <f t="shared" si="5"/>
        <v>30</v>
      </c>
      <c r="F72" s="188">
        <f>IFERROR(_xlfn.XLOOKUP($A72,Input_Raw!$A:$A,Input_Raw!$FC:$FC),"")</f>
        <v>12.600000000000001</v>
      </c>
      <c r="G72" s="189">
        <f>IFERROR(_xlfn.XLOOKUP($A72,Input_Raw!$A:$A,Input_Raw!$CY:$CY),"")</f>
        <v>6.1929848249999964</v>
      </c>
      <c r="H72" s="189">
        <f>IFERROR(_xlfn.XLOOKUP($A72,Input_Raw!$A:$A,Input_Raw!$DA:$DA),"")</f>
        <v>0.99153400833333338</v>
      </c>
      <c r="I72" s="189">
        <f>IFERROR(_xlfn.XLOOKUP($A72,Input_Raw!$A:$A,Input_Raw!$CX:$CX),"")</f>
        <v>5.9320743500000006</v>
      </c>
      <c r="J72" s="189">
        <f>IFERROR(_xlfn.XLOOKUP($A72,Input_Raw!$A:$A,Input_Raw!$CZ:$CZ),"")</f>
        <v>0.80910324166666703</v>
      </c>
      <c r="K72" s="190">
        <f>IFERROR(_xlfn.XLOOKUP($A72,Input_Raw!$A:$A,Input_Raw!$DB:$DB),"")</f>
        <v>32.817607632779414</v>
      </c>
      <c r="L72" s="190">
        <f>IFERROR(_xlfn.XLOOKUP($A72,Input_Raw!$A:$A,Input_Raw!$DC:$DC),"")</f>
        <v>45.429663202294293</v>
      </c>
      <c r="M72" s="189">
        <f>IFERROR(_xlfn.XLOOKUP($A72,Input_Raw!$A:$A,Input_Raw!$DF:$DF),"")</f>
        <v>1.4968167254823947</v>
      </c>
      <c r="N72" s="189">
        <f>IFERROR(_xlfn.XLOOKUP($A72,Input_Raw!$A:$A,Input_Raw!$DG:$DG),"")</f>
        <v>3.0585</v>
      </c>
      <c r="O72" s="219">
        <f>IFERROR(1-(SUMIF(Plant_BD!$B:$B,$A72,Plant_BD!$AL:$AL)/($AA72+SUMIF(Plant_BD!$B:$B,$A72,Plant_BD!$AL:$AL))),"")</f>
        <v>1</v>
      </c>
      <c r="P72" s="219"/>
      <c r="Q72" s="220">
        <f>IFERROR(1-(SUMIF(Grid_BD!$B:$B,$A72,Grid_BD!$V:$V)/($AA72+SUMIF(Grid_BD!$B:$B,$A72,Grid_BD!$V:$V))),"")</f>
        <v>1</v>
      </c>
      <c r="R72" s="219">
        <f>IFERROR(1-(SUMIF(Grid_BD!$B:$B,$A72,Grid_BD!$V:$V)/($AA72+SUMIF(Grid_BD!$B:$B,$A72,Grid_BD!$V:$V))),"")</f>
        <v>1</v>
      </c>
      <c r="S72" s="9"/>
      <c r="T72" s="220"/>
      <c r="U72" s="221">
        <f t="shared" si="6"/>
        <v>0.807577748404957</v>
      </c>
      <c r="V72" s="221" t="str">
        <f>IFERROR(_xlfn.XLOOKUP($A72,Input_Raw!$A:$A,Input_Raw!$FG:$FG),"")</f>
        <v/>
      </c>
      <c r="W72" s="222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78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22">
        <f>IFERROR(_xlfn.XLOOKUP($D72,'Modelling New'!$D:$D,'Modelling New'!O:O),"")</f>
        <v>0.84205181214283342</v>
      </c>
      <c r="AF72" s="222">
        <f>IFERROR(_xlfn.XLOOKUP($D72,'Modelling New'!$D:$D,'Modelling New'!W:W),"")</f>
        <v>0.17437489609791174</v>
      </c>
      <c r="AG72" s="222">
        <f>IFERROR(_xlfn.XLOOKUP($D72,'Modelling New'!$D:$D,'Modelling New'!AE:AE),"")</f>
        <v>0.995</v>
      </c>
      <c r="AH72" s="222">
        <f>IFERROR(_xlfn.XLOOKUP($D72,'Modelling New'!$D:$D,'Modelling New'!AF:AF),"")</f>
        <v>0.995</v>
      </c>
      <c r="AI72" s="9"/>
      <c r="AJ72" s="9"/>
      <c r="AK72" s="245"/>
      <c r="AL72" s="245"/>
      <c r="AM72" s="245"/>
      <c r="AN72" s="219"/>
      <c r="AO72" s="222"/>
      <c r="AP72" s="222"/>
      <c r="AQ72" s="222"/>
      <c r="AR72" s="223">
        <f>_xlfn.XLOOKUP(D72,'Modelling New'!$D:$D,'Modelling New'!$N:$N)</f>
        <v>130</v>
      </c>
      <c r="AS72" s="223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18">
        <f>Table13[[#This Row],[Date]]-DAY(Table13[[#This Row],[Date]])+1</f>
        <v>45809</v>
      </c>
      <c r="E73" s="9">
        <f t="shared" si="5"/>
        <v>30</v>
      </c>
      <c r="F73" s="188">
        <f>IFERROR(_xlfn.XLOOKUP($A73,Input_Raw!$A:$A,Input_Raw!$FC:$FC),"")</f>
        <v>12.616666666666667</v>
      </c>
      <c r="G73" s="178">
        <f>IFERROR(_xlfn.XLOOKUP($A73,Input_Raw!$A:$A,Input_Raw!$CY:$CY),"")</f>
        <v>6.609232816666669</v>
      </c>
      <c r="H73" s="178">
        <f>IFERROR(_xlfn.XLOOKUP($A73,Input_Raw!$A:$A,Input_Raw!$DA:$DA),"")</f>
        <v>1.0600962666666678</v>
      </c>
      <c r="I73" s="178">
        <f>IFERROR(_xlfn.XLOOKUP($A73,Input_Raw!$A:$A,Input_Raw!$CX:$CX),"")</f>
        <v>6.3258972916666742</v>
      </c>
      <c r="J73" s="178">
        <f>IFERROR(_xlfn.XLOOKUP($A73,Input_Raw!$A:$A,Input_Raw!$CZ:$CZ),"")</f>
        <v>0.85359059999999964</v>
      </c>
      <c r="K73" s="190">
        <f>IFERROR(_xlfn.XLOOKUP($A73,Input_Raw!$A:$A,Input_Raw!$DB:$DB),"")</f>
        <v>32.870781546991971</v>
      </c>
      <c r="L73" s="190">
        <f>IFERROR(_xlfn.XLOOKUP($A73,Input_Raw!$A:$A,Input_Raw!$DC:$DC),"")</f>
        <v>45.386171672191089</v>
      </c>
      <c r="M73" s="189">
        <f>IFERROR(_xlfn.XLOOKUP($A73,Input_Raw!$A:$A,Input_Raw!$DF:$DF),"")</f>
        <v>1.8950747023862462</v>
      </c>
      <c r="N73" s="189">
        <f>IFERROR(_xlfn.XLOOKUP($A73,Input_Raw!$A:$A,Input_Raw!$DG:$DG),"")</f>
        <v>3.4380000000000002</v>
      </c>
      <c r="O73" s="219">
        <f>IFERROR(1-(SUMIF(Plant_BD!$B:$B,$A73,Plant_BD!$AL:$AL)/($AA73+SUMIF(Plant_BD!$B:$B,$A73,Plant_BD!$AL:$AL))),"")</f>
        <v>1</v>
      </c>
      <c r="P73" s="219"/>
      <c r="Q73" s="220">
        <f>IFERROR(1-(SUMIF(Grid_BD!$B:$B,$A73,Grid_BD!$V:$V)/($AA73+SUMIF(Grid_BD!$B:$B,$A73,Grid_BD!$V:$V))),"")</f>
        <v>1</v>
      </c>
      <c r="R73" s="219">
        <f>IFERROR(1-(SUMIF(Grid_BD!$B:$B,$A73,Grid_BD!$V:$V)/($AA73+SUMIF(Grid_BD!$B:$B,$A73,Grid_BD!$V:$V))),"")</f>
        <v>1</v>
      </c>
      <c r="S73" s="9"/>
      <c r="T73" s="220"/>
      <c r="U73" s="221">
        <f t="shared" si="6"/>
        <v>0.79644663460456</v>
      </c>
      <c r="V73" s="221" t="str">
        <f>IFERROR(_xlfn.XLOOKUP($A73,Input_Raw!$A:$A,Input_Raw!$FG:$FG),"")</f>
        <v/>
      </c>
      <c r="W73" s="222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78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22">
        <f>IFERROR(_xlfn.XLOOKUP($D73,'Modelling New'!$D:$D,'Modelling New'!O:O),"")</f>
        <v>0.84205181214283342</v>
      </c>
      <c r="AF73" s="222">
        <f>IFERROR(_xlfn.XLOOKUP($D73,'Modelling New'!$D:$D,'Modelling New'!W:W),"")</f>
        <v>0.17437489609791174</v>
      </c>
      <c r="AG73" s="222">
        <f>IFERROR(_xlfn.XLOOKUP($D73,'Modelling New'!$D:$D,'Modelling New'!AE:AE),"")</f>
        <v>0.995</v>
      </c>
      <c r="AH73" s="222">
        <f>IFERROR(_xlfn.XLOOKUP($D73,'Modelling New'!$D:$D,'Modelling New'!AF:AF),"")</f>
        <v>0.995</v>
      </c>
      <c r="AI73" s="9"/>
      <c r="AJ73" s="9"/>
      <c r="AK73" s="245"/>
      <c r="AL73" s="245"/>
      <c r="AM73" s="245"/>
      <c r="AN73" s="219"/>
      <c r="AO73" s="222"/>
      <c r="AP73" s="222"/>
      <c r="AQ73" s="222"/>
      <c r="AR73" s="223">
        <f>_xlfn.XLOOKUP(D73,'Modelling New'!$D:$D,'Modelling New'!$N:$N)</f>
        <v>130</v>
      </c>
      <c r="AS73" s="223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18">
        <f>Table13[[#This Row],[Date]]-DAY(Table13[[#This Row],[Date]])+1</f>
        <v>45809</v>
      </c>
      <c r="E74" s="9">
        <f t="shared" si="5"/>
        <v>30</v>
      </c>
      <c r="F74" s="188">
        <f>IFERROR(_xlfn.XLOOKUP($A74,Input_Raw!$A:$A,Input_Raw!$FC:$FC),"")</f>
        <v>12.75</v>
      </c>
      <c r="G74" s="189">
        <f>IFERROR(_xlfn.XLOOKUP($A74,Input_Raw!$A:$A,Input_Raw!$CY:$CY),"")</f>
        <v>6.8831551416666663</v>
      </c>
      <c r="H74" s="189">
        <f>IFERROR(_xlfn.XLOOKUP($A74,Input_Raw!$A:$A,Input_Raw!$DA:$DA),"")</f>
        <v>1.1205029000000006</v>
      </c>
      <c r="I74" s="189">
        <f>IFERROR(_xlfn.XLOOKUP($A74,Input_Raw!$A:$A,Input_Raw!$CX:$CX),"")</f>
        <v>6.8251041666666676</v>
      </c>
      <c r="J74" s="189">
        <f>IFERROR(_xlfn.XLOOKUP($A74,Input_Raw!$A:$A,Input_Raw!$CZ:$CZ),"")</f>
        <v>0.89520774166666661</v>
      </c>
      <c r="K74" s="190">
        <f>IFERROR(_xlfn.XLOOKUP($A74,Input_Raw!$A:$A,Input_Raw!$DB:$DB),"")</f>
        <v>33.125388386775526</v>
      </c>
      <c r="L74" s="190">
        <f>IFERROR(_xlfn.XLOOKUP($A74,Input_Raw!$A:$A,Input_Raw!$DC:$DC),"")</f>
        <v>45.170192668453325</v>
      </c>
      <c r="M74" s="189">
        <f>IFERROR(_xlfn.XLOOKUP($A74,Input_Raw!$A:$A,Input_Raw!$DF:$DF),"")</f>
        <v>2.3859634033343</v>
      </c>
      <c r="N74" s="189">
        <f>IFERROR(_xlfn.XLOOKUP($A74,Input_Raw!$A:$A,Input_Raw!$DG:$DG),"")</f>
        <v>4.2449999999999992</v>
      </c>
      <c r="O74" s="219">
        <f>IFERROR(1-(SUMIF(Plant_BD!$B:$B,$A74,Plant_BD!$AL:$AL)/($AA74+SUMIF(Plant_BD!$B:$B,$A74,Plant_BD!$AL:$AL))),"")</f>
        <v>1</v>
      </c>
      <c r="P74" s="219"/>
      <c r="Q74" s="220">
        <f>IFERROR(1-(SUMIF(Grid_BD!$B:$B,$A74,Grid_BD!$V:$V)/($AA74+SUMIF(Grid_BD!$B:$B,$A74,Grid_BD!$V:$V))),"")</f>
        <v>1</v>
      </c>
      <c r="R74" s="219">
        <f>IFERROR(1-(SUMIF(Grid_BD!$B:$B,$A74,Grid_BD!$V:$V)/($AA74+SUMIF(Grid_BD!$B:$B,$A74,Grid_BD!$V:$V))),"")</f>
        <v>1</v>
      </c>
      <c r="S74" s="9"/>
      <c r="T74" s="220"/>
      <c r="U74" s="221">
        <f t="shared" si="6"/>
        <v>0.76983161000770362</v>
      </c>
      <c r="V74" s="221" t="str">
        <f>IFERROR(_xlfn.XLOOKUP($A74,Input_Raw!$A:$A,Input_Raw!$FG:$FG),"")</f>
        <v/>
      </c>
      <c r="W74" s="222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78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22">
        <f>IFERROR(_xlfn.XLOOKUP($D74,'Modelling New'!$D:$D,'Modelling New'!O:O),"")</f>
        <v>0.84205181214283342</v>
      </c>
      <c r="AF74" s="222">
        <f>IFERROR(_xlfn.XLOOKUP($D74,'Modelling New'!$D:$D,'Modelling New'!W:W),"")</f>
        <v>0.17437489609791174</v>
      </c>
      <c r="AG74" s="222">
        <f>IFERROR(_xlfn.XLOOKUP($D74,'Modelling New'!$D:$D,'Modelling New'!AE:AE),"")</f>
        <v>0.995</v>
      </c>
      <c r="AH74" s="222">
        <f>IFERROR(_xlfn.XLOOKUP($D74,'Modelling New'!$D:$D,'Modelling New'!AF:AF),"")</f>
        <v>0.995</v>
      </c>
      <c r="AI74" s="9"/>
      <c r="AJ74" s="9"/>
      <c r="AK74" s="245"/>
      <c r="AL74" s="245"/>
      <c r="AM74" s="245"/>
      <c r="AN74" s="219"/>
      <c r="AO74" s="222"/>
      <c r="AP74" s="222"/>
      <c r="AQ74" s="222"/>
      <c r="AR74" s="223">
        <f>_xlfn.XLOOKUP(D74,'Modelling New'!$D:$D,'Modelling New'!$N:$N)</f>
        <v>130</v>
      </c>
      <c r="AS74" s="223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18">
        <f>Table13[[#This Row],[Date]]-DAY(Table13[[#This Row],[Date]])+1</f>
        <v>45809</v>
      </c>
      <c r="E75" s="9">
        <f t="shared" si="5"/>
        <v>30</v>
      </c>
      <c r="F75" s="188">
        <f>IFERROR(_xlfn.XLOOKUP($A75,Input_Raw!$A:$A,Input_Raw!$FC:$FC),"")</f>
        <v>12.7</v>
      </c>
      <c r="G75" s="178">
        <f>IFERROR(_xlfn.XLOOKUP($A75,Input_Raw!$A:$A,Input_Raw!$CY:$CY),"")</f>
        <v>5.7528031666666699</v>
      </c>
      <c r="H75" s="178">
        <f>IFERROR(_xlfn.XLOOKUP($A75,Input_Raw!$A:$A,Input_Raw!$DA:$DA),"")</f>
        <v>0.99789378333333356</v>
      </c>
      <c r="I75" s="178">
        <f>IFERROR(_xlfn.XLOOKUP($A75,Input_Raw!$A:$A,Input_Raw!$CX:$CX),"")</f>
        <v>6.5441856999999999</v>
      </c>
      <c r="J75" s="178">
        <f>IFERROR(_xlfn.XLOOKUP($A75,Input_Raw!$A:$A,Input_Raw!$CZ:$CZ),"")</f>
        <v>0.79911924166666659</v>
      </c>
      <c r="K75" s="190">
        <f>IFERROR(_xlfn.XLOOKUP($A75,Input_Raw!$A:$A,Input_Raw!$DB:$DB),"")</f>
        <v>33.093377966251957</v>
      </c>
      <c r="L75" s="190">
        <f>IFERROR(_xlfn.XLOOKUP($A75,Input_Raw!$A:$A,Input_Raw!$DC:$DC),"")</f>
        <v>45.139695383367652</v>
      </c>
      <c r="M75" s="189">
        <f>IFERROR(_xlfn.XLOOKUP($A75,Input_Raw!$A:$A,Input_Raw!$DF:$DF),"")</f>
        <v>2.1301889319030325</v>
      </c>
      <c r="N75" s="189">
        <f>IFERROR(_xlfn.XLOOKUP($A75,Input_Raw!$A:$A,Input_Raw!$DG:$DG),"")</f>
        <v>3.8849999999999998</v>
      </c>
      <c r="O75" s="219">
        <f>IFERROR(1-(SUMIF(Plant_BD!$B:$B,$A75,Plant_BD!$AL:$AL)/($AA75+SUMIF(Plant_BD!$B:$B,$A75,Plant_BD!$AL:$AL))),"")</f>
        <v>0.99791205077998268</v>
      </c>
      <c r="P75" s="219"/>
      <c r="Q75" s="220">
        <f>IFERROR(1-(SUMIF(Grid_BD!$B:$B,$A75,Grid_BD!$V:$V)/($AA75+SUMIF(Grid_BD!$B:$B,$A75,Grid_BD!$V:$V))),"")</f>
        <v>1</v>
      </c>
      <c r="R75" s="219">
        <f>IFERROR(1-(SUMIF(Grid_BD!$B:$B,$A75,Grid_BD!$V:$V)/($AA75+SUMIF(Grid_BD!$B:$B,$A75,Grid_BD!$V:$V))),"")</f>
        <v>1</v>
      </c>
      <c r="S75" s="9"/>
      <c r="T75" s="220"/>
      <c r="U75" s="221">
        <f t="shared" si="6"/>
        <v>0.73204084764034638</v>
      </c>
      <c r="V75" s="221" t="str">
        <f>IFERROR(_xlfn.XLOOKUP($A75,Input_Raw!$A:$A,Input_Raw!$FG:$FG),"")</f>
        <v/>
      </c>
      <c r="W75" s="222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78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22">
        <f>IFERROR(_xlfn.XLOOKUP($D75,'Modelling New'!$D:$D,'Modelling New'!O:O),"")</f>
        <v>0.84205181214283342</v>
      </c>
      <c r="AF75" s="222">
        <f>IFERROR(_xlfn.XLOOKUP($D75,'Modelling New'!$D:$D,'Modelling New'!W:W),"")</f>
        <v>0.17437489609791174</v>
      </c>
      <c r="AG75" s="222">
        <f>IFERROR(_xlfn.XLOOKUP($D75,'Modelling New'!$D:$D,'Modelling New'!AE:AE),"")</f>
        <v>0.995</v>
      </c>
      <c r="AH75" s="222">
        <f>IFERROR(_xlfn.XLOOKUP($D75,'Modelling New'!$D:$D,'Modelling New'!AF:AF),"")</f>
        <v>0.995</v>
      </c>
      <c r="AI75" s="9"/>
      <c r="AJ75" s="9"/>
      <c r="AK75" s="245"/>
      <c r="AL75" s="245"/>
      <c r="AM75" s="245"/>
      <c r="AN75" s="219"/>
      <c r="AO75" s="222"/>
      <c r="AP75" s="222"/>
      <c r="AQ75" s="222"/>
      <c r="AR75" s="223">
        <f>_xlfn.XLOOKUP(D75,'Modelling New'!$D:$D,'Modelling New'!$N:$N)</f>
        <v>130</v>
      </c>
      <c r="AS75" s="223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18">
        <f>Table13[[#This Row],[Date]]-DAY(Table13[[#This Row],[Date]])+1</f>
        <v>45809</v>
      </c>
      <c r="E76" s="9">
        <f t="shared" si="5"/>
        <v>30</v>
      </c>
      <c r="F76" s="188">
        <f>IFERROR(_xlfn.XLOOKUP($A76,Input_Raw!$A:$A,Input_Raw!$FC:$FC),"")</f>
        <v>12.216666666666665</v>
      </c>
      <c r="G76" s="189">
        <f>IFERROR(_xlfn.XLOOKUP($A76,Input_Raw!$A:$A,Input_Raw!$CY:$CY),"")</f>
        <v>3.3668184583333325</v>
      </c>
      <c r="H76" s="189">
        <f>IFERROR(_xlfn.XLOOKUP($A76,Input_Raw!$A:$A,Input_Raw!$DA:$DA),"")</f>
        <v>0.59825905833333326</v>
      </c>
      <c r="I76" s="189">
        <f>IFERROR(_xlfn.XLOOKUP($A76,Input_Raw!$A:$A,Input_Raw!$CX:$CX),"")</f>
        <v>3.8328738083333382</v>
      </c>
      <c r="J76" s="189">
        <f>IFERROR(_xlfn.XLOOKUP($A76,Input_Raw!$A:$A,Input_Raw!$CZ:$CZ),"")</f>
        <v>0.47267730833333377</v>
      </c>
      <c r="K76" s="190">
        <f>IFERROR(_xlfn.XLOOKUP($A76,Input_Raw!$A:$A,Input_Raw!$DB:$DB),"")</f>
        <v>30.428994666714051</v>
      </c>
      <c r="L76" s="190">
        <f>IFERROR(_xlfn.XLOOKUP($A76,Input_Raw!$A:$A,Input_Raw!$DC:$DC),"")</f>
        <v>39.886981735785653</v>
      </c>
      <c r="M76" s="189">
        <f>IFERROR(_xlfn.XLOOKUP($A76,Input_Raw!$A:$A,Input_Raw!$DF:$DF),"")</f>
        <v>1.9157555158016211</v>
      </c>
      <c r="N76" s="189">
        <f>IFERROR(_xlfn.XLOOKUP($A76,Input_Raw!$A:$A,Input_Raw!$DG:$DG),"")</f>
        <v>3.5205000000000002</v>
      </c>
      <c r="O76" s="219">
        <f>IFERROR(1-(SUMIF(Plant_BD!$B:$B,$A76,Plant_BD!$AL:$AL)/($AA76+SUMIF(Plant_BD!$B:$B,$A76,Plant_BD!$AL:$AL))),"")</f>
        <v>1</v>
      </c>
      <c r="P76" s="219"/>
      <c r="Q76" s="220">
        <f>IFERROR(1-(SUMIF(Grid_BD!$B:$B,$A76,Grid_BD!$V:$V)/($AA76+SUMIF(Grid_BD!$B:$B,$A76,Grid_BD!$V:$V))),"")</f>
        <v>1</v>
      </c>
      <c r="R76" s="219">
        <f>IFERROR(1-(SUMIF(Grid_BD!$B:$B,$A76,Grid_BD!$V:$V)/($AA76+SUMIF(Grid_BD!$B:$B,$A76,Grid_BD!$V:$V))),"")</f>
        <v>1</v>
      </c>
      <c r="S76" s="9"/>
      <c r="T76" s="220"/>
      <c r="U76" s="221">
        <f t="shared" si="6"/>
        <v>0.76823496533061353</v>
      </c>
      <c r="V76" s="221" t="str">
        <f>IFERROR(_xlfn.XLOOKUP($A76,Input_Raw!$A:$A,Input_Raw!$FG:$FG),"")</f>
        <v/>
      </c>
      <c r="W76" s="222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78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22">
        <f>IFERROR(_xlfn.XLOOKUP($D76,'Modelling New'!$D:$D,'Modelling New'!O:O),"")</f>
        <v>0.84205181214283342</v>
      </c>
      <c r="AF76" s="222">
        <f>IFERROR(_xlfn.XLOOKUP($D76,'Modelling New'!$D:$D,'Modelling New'!W:W),"")</f>
        <v>0.17437489609791174</v>
      </c>
      <c r="AG76" s="222">
        <f>IFERROR(_xlfn.XLOOKUP($D76,'Modelling New'!$D:$D,'Modelling New'!AE:AE),"")</f>
        <v>0.995</v>
      </c>
      <c r="AH76" s="222">
        <f>IFERROR(_xlfn.XLOOKUP($D76,'Modelling New'!$D:$D,'Modelling New'!AF:AF),"")</f>
        <v>0.995</v>
      </c>
      <c r="AI76" s="9"/>
      <c r="AJ76" s="9"/>
      <c r="AK76" s="245"/>
      <c r="AL76" s="245"/>
      <c r="AM76" s="245"/>
      <c r="AN76" s="219"/>
      <c r="AO76" s="222"/>
      <c r="AP76" s="222"/>
      <c r="AQ76" s="222"/>
      <c r="AR76" s="223">
        <f>_xlfn.XLOOKUP(D76,'Modelling New'!$D:$D,'Modelling New'!$N:$N)</f>
        <v>130</v>
      </c>
      <c r="AS76" s="223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18">
        <f>Table13[[#This Row],[Date]]-DAY(Table13[[#This Row],[Date]])+1</f>
        <v>45809</v>
      </c>
      <c r="E77" s="9">
        <f t="shared" si="5"/>
        <v>30</v>
      </c>
      <c r="F77" s="188">
        <f>IFERROR(_xlfn.XLOOKUP($A77,Input_Raw!$A:$A,Input_Raw!$FC:$FC),"")</f>
        <v>11.9</v>
      </c>
      <c r="G77" s="178">
        <f>IFERROR(_xlfn.XLOOKUP($A77,Input_Raw!$A:$A,Input_Raw!$CY:$CY),"")</f>
        <v>5.2331541250000013</v>
      </c>
      <c r="H77" s="178">
        <f>IFERROR(_xlfn.XLOOKUP($A77,Input_Raw!$A:$A,Input_Raw!$DA:$DA),"")</f>
        <v>0.91360534999999943</v>
      </c>
      <c r="I77" s="178">
        <f>IFERROR(_xlfn.XLOOKUP($A77,Input_Raw!$A:$A,Input_Raw!$CX:$CX),"")</f>
        <v>5.9467351249999982</v>
      </c>
      <c r="J77" s="178">
        <f>IFERROR(_xlfn.XLOOKUP($A77,Input_Raw!$A:$A,Input_Raw!$CZ:$CZ),"")</f>
        <v>0.73510113333333349</v>
      </c>
      <c r="K77" s="190">
        <f>IFERROR(_xlfn.XLOOKUP($A77,Input_Raw!$A:$A,Input_Raw!$DB:$DB),"")</f>
        <v>29.115903808829682</v>
      </c>
      <c r="L77" s="190">
        <f>IFERROR(_xlfn.XLOOKUP($A77,Input_Raw!$A:$A,Input_Raw!$DC:$DC),"")</f>
        <v>40.736239301303151</v>
      </c>
      <c r="M77" s="189">
        <f>IFERROR(_xlfn.XLOOKUP($A77,Input_Raw!$A:$A,Input_Raw!$DF:$DF),"")</f>
        <v>1.3827881219312159</v>
      </c>
      <c r="N77" s="189">
        <f>IFERROR(_xlfn.XLOOKUP($A77,Input_Raw!$A:$A,Input_Raw!$DG:$DG),"")</f>
        <v>6.6585000000000001</v>
      </c>
      <c r="O77" s="219">
        <f>IFERROR(1-(SUMIF(Plant_BD!$B:$B,$A77,Plant_BD!$AL:$AL)/($AA77+SUMIF(Plant_BD!$B:$B,$A77,Plant_BD!$AL:$AL))),"")</f>
        <v>0.988124115530156</v>
      </c>
      <c r="P77" s="219"/>
      <c r="Q77" s="220">
        <f>IFERROR(1-(SUMIF(Grid_BD!$B:$B,$A77,Grid_BD!$V:$V)/($AA77+SUMIF(Grid_BD!$B:$B,$A77,Grid_BD!$V:$V))),"")</f>
        <v>1</v>
      </c>
      <c r="R77" s="219">
        <f>IFERROR(1-(SUMIF(Grid_BD!$B:$B,$A77,Grid_BD!$V:$V)/($AA77+SUMIF(Grid_BD!$B:$B,$A77,Grid_BD!$V:$V))),"")</f>
        <v>1</v>
      </c>
      <c r="S77" s="9"/>
      <c r="T77" s="220"/>
      <c r="U77" s="221">
        <f t="shared" si="6"/>
        <v>0.75032850735477885</v>
      </c>
      <c r="V77" s="221" t="str">
        <f>IFERROR(_xlfn.XLOOKUP($A77,Input_Raw!$A:$A,Input_Raw!$FG:$FG),"")</f>
        <v/>
      </c>
      <c r="W77" s="222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78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22">
        <f>IFERROR(_xlfn.XLOOKUP($D77,'Modelling New'!$D:$D,'Modelling New'!O:O),"")</f>
        <v>0.84205181214283342</v>
      </c>
      <c r="AF77" s="222">
        <f>IFERROR(_xlfn.XLOOKUP($D77,'Modelling New'!$D:$D,'Modelling New'!W:W),"")</f>
        <v>0.17437489609791174</v>
      </c>
      <c r="AG77" s="222">
        <f>IFERROR(_xlfn.XLOOKUP($D77,'Modelling New'!$D:$D,'Modelling New'!AE:AE),"")</f>
        <v>0.995</v>
      </c>
      <c r="AH77" s="222">
        <f>IFERROR(_xlfn.XLOOKUP($D77,'Modelling New'!$D:$D,'Modelling New'!AF:AF),"")</f>
        <v>0.995</v>
      </c>
      <c r="AI77" s="9"/>
      <c r="AJ77" s="9"/>
      <c r="AK77" s="245"/>
      <c r="AL77" s="245"/>
      <c r="AM77" s="245"/>
      <c r="AN77" s="219"/>
      <c r="AO77" s="222"/>
      <c r="AP77" s="222"/>
      <c r="AQ77" s="222"/>
      <c r="AR77" s="223">
        <f>_xlfn.XLOOKUP(D77,'Modelling New'!$D:$D,'Modelling New'!$N:$N)</f>
        <v>130</v>
      </c>
      <c r="AS77" s="223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18">
        <f>Table13[[#This Row],[Date]]-DAY(Table13[[#This Row],[Date]])+1</f>
        <v>45809</v>
      </c>
      <c r="E78" s="9">
        <f t="shared" si="5"/>
        <v>30</v>
      </c>
      <c r="F78" s="188">
        <f>IFERROR(_xlfn.XLOOKUP($A78,Input_Raw!$A:$A,Input_Raw!$FC:$FC),"")</f>
        <v>12.616666666666667</v>
      </c>
      <c r="G78" s="189">
        <f>IFERROR(_xlfn.XLOOKUP($A78,Input_Raw!$A:$A,Input_Raw!$CY:$CY),"")</f>
        <v>4.5868154583333327</v>
      </c>
      <c r="H78" s="189">
        <f>IFERROR(_xlfn.XLOOKUP($A78,Input_Raw!$A:$A,Input_Raw!$DA:$DA),"")</f>
        <v>0.52536266666666753</v>
      </c>
      <c r="I78" s="189">
        <f>IFERROR(_xlfn.XLOOKUP($A78,Input_Raw!$A:$A,Input_Raw!$CX:$CX),"")</f>
        <v>5.9436416833333272</v>
      </c>
      <c r="J78" s="189">
        <f>IFERROR(_xlfn.XLOOKUP($A78,Input_Raw!$A:$A,Input_Raw!$CZ:$CZ),"")</f>
        <v>0.37296844166666709</v>
      </c>
      <c r="K78" s="190">
        <f>IFERROR(_xlfn.XLOOKUP($A78,Input_Raw!$A:$A,Input_Raw!$DB:$DB),"")</f>
        <v>17.902280230919565</v>
      </c>
      <c r="L78" s="190">
        <f>IFERROR(_xlfn.XLOOKUP($A78,Input_Raw!$A:$A,Input_Raw!$DC:$DC),"")</f>
        <v>25.849413659607535</v>
      </c>
      <c r="M78" s="189">
        <f>IFERROR(_xlfn.XLOOKUP($A78,Input_Raw!$A:$A,Input_Raw!$DF:$DF),"")</f>
        <v>0.51123436609355855</v>
      </c>
      <c r="N78" s="189">
        <f>IFERROR(_xlfn.XLOOKUP($A78,Input_Raw!$A:$A,Input_Raw!$DG:$DG),"")</f>
        <v>2.3205</v>
      </c>
      <c r="O78" s="219">
        <f>IFERROR(1-(SUMIF(Plant_BD!$B:$B,$A78,Plant_BD!$AL:$AL)/($AA78+SUMIF(Plant_BD!$B:$B,$A78,Plant_BD!$AL:$AL))),"")</f>
        <v>0.98919226277480243</v>
      </c>
      <c r="P78" s="219"/>
      <c r="Q78" s="220">
        <f>IFERROR(1-(SUMIF(Grid_BD!$B:$B,$A78,Grid_BD!$V:$V)/($AA78+SUMIF(Grid_BD!$B:$B,$A78,Grid_BD!$V:$V))),"")</f>
        <v>1</v>
      </c>
      <c r="R78" s="219">
        <f>IFERROR(1-(SUMIF(Grid_BD!$B:$B,$A78,Grid_BD!$V:$V)/($AA78+SUMIF(Grid_BD!$B:$B,$A78,Grid_BD!$V:$V))),"")</f>
        <v>1</v>
      </c>
      <c r="S78" s="9"/>
      <c r="T78" s="220"/>
      <c r="U78" s="221">
        <f t="shared" si="6"/>
        <v>0.83108268716179079</v>
      </c>
      <c r="V78" s="221" t="str">
        <f>IFERROR(_xlfn.XLOOKUP($A78,Input_Raw!$A:$A,Input_Raw!$FG:$FG),"")</f>
        <v/>
      </c>
      <c r="W78" s="222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78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22">
        <f>IFERROR(_xlfn.XLOOKUP($D78,'Modelling New'!$D:$D,'Modelling New'!O:O),"")</f>
        <v>0.84205181214283342</v>
      </c>
      <c r="AF78" s="222">
        <f>IFERROR(_xlfn.XLOOKUP($D78,'Modelling New'!$D:$D,'Modelling New'!W:W),"")</f>
        <v>0.17437489609791174</v>
      </c>
      <c r="AG78" s="222">
        <f>IFERROR(_xlfn.XLOOKUP($D78,'Modelling New'!$D:$D,'Modelling New'!AE:AE),"")</f>
        <v>0.995</v>
      </c>
      <c r="AH78" s="222">
        <f>IFERROR(_xlfn.XLOOKUP($D78,'Modelling New'!$D:$D,'Modelling New'!AF:AF),"")</f>
        <v>0.995</v>
      </c>
      <c r="AI78" s="9"/>
      <c r="AJ78" s="9"/>
      <c r="AK78" s="245"/>
      <c r="AL78" s="245"/>
      <c r="AM78" s="245"/>
      <c r="AN78" s="219"/>
      <c r="AO78" s="222"/>
      <c r="AP78" s="222"/>
      <c r="AQ78" s="222"/>
      <c r="AR78" s="223">
        <f>_xlfn.XLOOKUP(D78,'Modelling New'!$D:$D,'Modelling New'!$N:$N)</f>
        <v>130</v>
      </c>
      <c r="AS78" s="223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18">
        <f>Table13[[#This Row],[Date]]-DAY(Table13[[#This Row],[Date]])+1</f>
        <v>45809</v>
      </c>
      <c r="E79" s="9">
        <f t="shared" si="5"/>
        <v>30</v>
      </c>
      <c r="F79" s="188">
        <f>IFERROR(_xlfn.XLOOKUP($A79,Input_Raw!$A:$A,Input_Raw!$FC:$FC),"")</f>
        <v>12.600000000000001</v>
      </c>
      <c r="G79" s="178">
        <f>IFERROR(_xlfn.XLOOKUP($A79,Input_Raw!$A:$A,Input_Raw!$CY:$CY),"")</f>
        <v>5.2343621666666644</v>
      </c>
      <c r="H79" s="178">
        <f>IFERROR(_xlfn.XLOOKUP($A79,Input_Raw!$A:$A,Input_Raw!$DA:$DA),"")</f>
        <v>0.9810536999999997</v>
      </c>
      <c r="I79" s="178">
        <f>IFERROR(_xlfn.XLOOKUP($A79,Input_Raw!$A:$A,Input_Raw!$CX:$CX),"")</f>
        <v>6.871251516666673</v>
      </c>
      <c r="J79" s="178">
        <f>IFERROR(_xlfn.XLOOKUP($A79,Input_Raw!$A:$A,Input_Raw!$CZ:$CZ),"")</f>
        <v>0.71466563333333322</v>
      </c>
      <c r="K79" s="190">
        <f>IFERROR(_xlfn.XLOOKUP($A79,Input_Raw!$A:$A,Input_Raw!$DB:$DB),"")</f>
        <v>30.935410764872515</v>
      </c>
      <c r="L79" s="190">
        <f>IFERROR(_xlfn.XLOOKUP($A79,Input_Raw!$A:$A,Input_Raw!$DC:$DC),"")</f>
        <v>44.854223087818717</v>
      </c>
      <c r="M79" s="189">
        <f>IFERROR(_xlfn.XLOOKUP($A79,Input_Raw!$A:$A,Input_Raw!$DF:$DF),"")</f>
        <v>0.81648441926345705</v>
      </c>
      <c r="N79" s="189">
        <f>IFERROR(_xlfn.XLOOKUP($A79,Input_Raw!$A:$A,Input_Raw!$DG:$DG),"")</f>
        <v>4.2210000000000001</v>
      </c>
      <c r="O79" s="219">
        <f>IFERROR(1-(SUMIF(Plant_BD!$B:$B,$A79,Plant_BD!$AL:$AL)/($AA79+SUMIF(Plant_BD!$B:$B,$A79,Plant_BD!$AL:$AL))),"")</f>
        <v>1</v>
      </c>
      <c r="P79" s="219"/>
      <c r="Q79" s="220">
        <f>IFERROR(1-(SUMIF(Grid_BD!$B:$B,$A79,Grid_BD!$V:$V)/($AA79+SUMIF(Grid_BD!$B:$B,$A79,Grid_BD!$V:$V))),"")</f>
        <v>1</v>
      </c>
      <c r="R79" s="219">
        <f>IFERROR(1-(SUMIF(Grid_BD!$B:$B,$A79,Grid_BD!$V:$V)/($AA79+SUMIF(Grid_BD!$B:$B,$A79,Grid_BD!$V:$V))),"")</f>
        <v>1</v>
      </c>
      <c r="S79" s="9"/>
      <c r="T79" s="220"/>
      <c r="U79" s="221">
        <f t="shared" si="6"/>
        <v>0.68524047566604585</v>
      </c>
      <c r="V79" s="221" t="str">
        <f>IFERROR(_xlfn.XLOOKUP($A79,Input_Raw!$A:$A,Input_Raw!$FG:$FG),"")</f>
        <v/>
      </c>
      <c r="W79" s="222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78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22">
        <f>IFERROR(_xlfn.XLOOKUP($D79,'Modelling New'!$D:$D,'Modelling New'!O:O),"")</f>
        <v>0.84205181214283342</v>
      </c>
      <c r="AF79" s="222">
        <f>IFERROR(_xlfn.XLOOKUP($D79,'Modelling New'!$D:$D,'Modelling New'!W:W),"")</f>
        <v>0.17437489609791174</v>
      </c>
      <c r="AG79" s="222">
        <f>IFERROR(_xlfn.XLOOKUP($D79,'Modelling New'!$D:$D,'Modelling New'!AE:AE),"")</f>
        <v>0.995</v>
      </c>
      <c r="AH79" s="222">
        <f>IFERROR(_xlfn.XLOOKUP($D79,'Modelling New'!$D:$D,'Modelling New'!AF:AF),"")</f>
        <v>0.995</v>
      </c>
      <c r="AI79" s="9"/>
      <c r="AJ79" s="9"/>
      <c r="AK79" s="245"/>
      <c r="AL79" s="245"/>
      <c r="AM79" s="245"/>
      <c r="AN79" s="219"/>
      <c r="AO79" s="222"/>
      <c r="AP79" s="222"/>
      <c r="AQ79" s="222"/>
      <c r="AR79" s="223">
        <f>_xlfn.XLOOKUP(D79,'Modelling New'!$D:$D,'Modelling New'!$N:$N)</f>
        <v>130</v>
      </c>
      <c r="AS79" s="223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18">
        <f>Table13[[#This Row],[Date]]-DAY(Table13[[#This Row],[Date]])+1</f>
        <v>45809</v>
      </c>
      <c r="E80" s="9">
        <f t="shared" si="5"/>
        <v>30</v>
      </c>
      <c r="F80" s="188">
        <f>IFERROR(_xlfn.XLOOKUP($A80,Input_Raw!$A:$A,Input_Raw!$FC:$FC),"")</f>
        <v>12.1</v>
      </c>
      <c r="G80" s="189">
        <f>IFERROR(_xlfn.XLOOKUP($A80,Input_Raw!$A:$A,Input_Raw!$CY:$CY),"")</f>
        <v>5.2119190499999979</v>
      </c>
      <c r="H80" s="189">
        <f>IFERROR(_xlfn.XLOOKUP($A80,Input_Raw!$A:$A,Input_Raw!$DA:$DA),"")</f>
        <v>0.96393041666666623</v>
      </c>
      <c r="I80" s="189">
        <f>IFERROR(_xlfn.XLOOKUP($A80,Input_Raw!$A:$A,Input_Raw!$CX:$CX),"")</f>
        <v>6.834107899999994</v>
      </c>
      <c r="J80" s="189">
        <f>IFERROR(_xlfn.XLOOKUP($A80,Input_Raw!$A:$A,Input_Raw!$CZ:$CZ),"")</f>
        <v>0.68744010000000055</v>
      </c>
      <c r="K80" s="190">
        <f>IFERROR(_xlfn.XLOOKUP($A80,Input_Raw!$A:$A,Input_Raw!$DB:$DB),"")</f>
        <v>30.29257188498401</v>
      </c>
      <c r="L80" s="190">
        <f>IFERROR(_xlfn.XLOOKUP($A80,Input_Raw!$A:$A,Input_Raw!$DC:$DC),"")</f>
        <v>44.882682108626092</v>
      </c>
      <c r="M80" s="189">
        <f>IFERROR(_xlfn.XLOOKUP($A80,Input_Raw!$A:$A,Input_Raw!$DF:$DF),"")</f>
        <v>1.1507822014051516</v>
      </c>
      <c r="N80" s="189">
        <f>IFERROR(_xlfn.XLOOKUP($A80,Input_Raw!$A:$A,Input_Raw!$DG:$DG),"")</f>
        <v>3.3420000000000001</v>
      </c>
      <c r="O80" s="219">
        <f>IFERROR(1-(SUMIF(Plant_BD!$B:$B,$A80,Plant_BD!$AL:$AL)/($AA80+SUMIF(Plant_BD!$B:$B,$A80,Plant_BD!$AL:$AL))),"")</f>
        <v>1</v>
      </c>
      <c r="P80" s="219"/>
      <c r="Q80" s="220">
        <f>IFERROR(1-(SUMIF(Grid_BD!$B:$B,$A80,Grid_BD!$V:$V)/($AA80+SUMIF(Grid_BD!$B:$B,$A80,Grid_BD!$V:$V))),"")</f>
        <v>1</v>
      </c>
      <c r="R80" s="219">
        <f>IFERROR(1-(SUMIF(Grid_BD!$B:$B,$A80,Grid_BD!$V:$V)/($AA80+SUMIF(Grid_BD!$B:$B,$A80,Grid_BD!$V:$V))),"")</f>
        <v>1</v>
      </c>
      <c r="S80" s="9"/>
      <c r="T80" s="220"/>
      <c r="U80" s="221">
        <f t="shared" si="6"/>
        <v>0.62078955283777437</v>
      </c>
      <c r="V80" s="221" t="str">
        <f>IFERROR(_xlfn.XLOOKUP($A80,Input_Raw!$A:$A,Input_Raw!$FG:$FG),"")</f>
        <v/>
      </c>
      <c r="W80" s="222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78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22">
        <f>IFERROR(_xlfn.XLOOKUP($D80,'Modelling New'!$D:$D,'Modelling New'!O:O),"")</f>
        <v>0.84205181214283342</v>
      </c>
      <c r="AF80" s="222">
        <f>IFERROR(_xlfn.XLOOKUP($D80,'Modelling New'!$D:$D,'Modelling New'!W:W),"")</f>
        <v>0.17437489609791174</v>
      </c>
      <c r="AG80" s="222">
        <f>IFERROR(_xlfn.XLOOKUP($D80,'Modelling New'!$D:$D,'Modelling New'!AE:AE),"")</f>
        <v>0.995</v>
      </c>
      <c r="AH80" s="222">
        <f>IFERROR(_xlfn.XLOOKUP($D80,'Modelling New'!$D:$D,'Modelling New'!AF:AF),"")</f>
        <v>0.995</v>
      </c>
      <c r="AI80" s="9"/>
      <c r="AJ80" s="9"/>
      <c r="AK80" s="245"/>
      <c r="AL80" s="245"/>
      <c r="AM80" s="245"/>
      <c r="AN80" s="219"/>
      <c r="AO80" s="222"/>
      <c r="AP80" s="222"/>
      <c r="AQ80" s="222"/>
      <c r="AR80" s="223">
        <f>_xlfn.XLOOKUP(D80,'Modelling New'!$D:$D,'Modelling New'!$N:$N)</f>
        <v>130</v>
      </c>
      <c r="AS80" s="223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18">
        <f>Table13[[#This Row],[Date]]-DAY(Table13[[#This Row],[Date]])+1</f>
        <v>45809</v>
      </c>
      <c r="E81" s="9">
        <f t="shared" si="5"/>
        <v>30</v>
      </c>
      <c r="F81" s="188">
        <f>IFERROR(_xlfn.XLOOKUP($A81,Input_Raw!$A:$A,Input_Raw!$FC:$FC),"")</f>
        <v>12.899999999999999</v>
      </c>
      <c r="G81" s="178">
        <f>IFERROR(_xlfn.XLOOKUP($A81,Input_Raw!$A:$A,Input_Raw!$CY:$CY),"")</f>
        <v>4.8223196916666637</v>
      </c>
      <c r="H81" s="178">
        <f>IFERROR(_xlfn.XLOOKUP($A81,Input_Raw!$A:$A,Input_Raw!$DA:$DA),"")</f>
        <v>0.77234641666666604</v>
      </c>
      <c r="I81" s="178">
        <f>IFERROR(_xlfn.XLOOKUP($A81,Input_Raw!$A:$A,Input_Raw!$CX:$CX),"")</f>
        <v>5.4328894500000029</v>
      </c>
      <c r="J81" s="178">
        <f>IFERROR(_xlfn.XLOOKUP($A81,Input_Raw!$A:$A,Input_Raw!$CZ:$CZ),"")</f>
        <v>0.6235096916666667</v>
      </c>
      <c r="K81" s="190">
        <f>IFERROR(_xlfn.XLOOKUP($A81,Input_Raw!$A:$A,Input_Raw!$DB:$DB),"")</f>
        <v>28.985448295716004</v>
      </c>
      <c r="L81" s="190">
        <f>IFERROR(_xlfn.XLOOKUP($A81,Input_Raw!$A:$A,Input_Raw!$DC:$DC),"")</f>
        <v>41.108262758735897</v>
      </c>
      <c r="M81" s="189">
        <f>IFERROR(_xlfn.XLOOKUP($A81,Input_Raw!$A:$A,Input_Raw!$DF:$DF),"")</f>
        <v>1.0358129251612256</v>
      </c>
      <c r="N81" s="189">
        <f>IFERROR(_xlfn.XLOOKUP($A81,Input_Raw!$A:$A,Input_Raw!$DG:$DG),"")</f>
        <v>3.702</v>
      </c>
      <c r="O81" s="219">
        <f>IFERROR(1-(SUMIF(Plant_BD!$B:$B,$A81,Plant_BD!$AL:$AL)/($AA81+SUMIF(Plant_BD!$B:$B,$A81,Plant_BD!$AL:$AL))),"")</f>
        <v>1</v>
      </c>
      <c r="P81" s="219"/>
      <c r="Q81" s="220">
        <f>IFERROR(1-(SUMIF(Grid_BD!$B:$B,$A81,Grid_BD!$V:$V)/($AA81+SUMIF(Grid_BD!$B:$B,$A81,Grid_BD!$V:$V))),"")</f>
        <v>1</v>
      </c>
      <c r="R81" s="219">
        <f>IFERROR(1-(SUMIF(Grid_BD!$B:$B,$A81,Grid_BD!$V:$V)/($AA81+SUMIF(Grid_BD!$B:$B,$A81,Grid_BD!$V:$V))),"")</f>
        <v>1</v>
      </c>
      <c r="S81" s="9"/>
      <c r="T81" s="220"/>
      <c r="U81" s="221">
        <f t="shared" si="6"/>
        <v>0.72473558484766654</v>
      </c>
      <c r="V81" s="221" t="str">
        <f>IFERROR(_xlfn.XLOOKUP($A81,Input_Raw!$A:$A,Input_Raw!$FG:$FG),"")</f>
        <v/>
      </c>
      <c r="W81" s="222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78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22">
        <f>IFERROR(_xlfn.XLOOKUP($D81,'Modelling New'!$D:$D,'Modelling New'!O:O),"")</f>
        <v>0.84205181214283342</v>
      </c>
      <c r="AF81" s="222">
        <f>IFERROR(_xlfn.XLOOKUP($D81,'Modelling New'!$D:$D,'Modelling New'!W:W),"")</f>
        <v>0.17437489609791174</v>
      </c>
      <c r="AG81" s="222">
        <f>IFERROR(_xlfn.XLOOKUP($D81,'Modelling New'!$D:$D,'Modelling New'!AE:AE),"")</f>
        <v>0.995</v>
      </c>
      <c r="AH81" s="222">
        <f>IFERROR(_xlfn.XLOOKUP($D81,'Modelling New'!$D:$D,'Modelling New'!AF:AF),"")</f>
        <v>0.995</v>
      </c>
      <c r="AI81" s="9"/>
      <c r="AJ81" s="9"/>
      <c r="AK81" s="245"/>
      <c r="AL81" s="245"/>
      <c r="AM81" s="245"/>
      <c r="AN81" s="219"/>
      <c r="AO81" s="222"/>
      <c r="AP81" s="222"/>
      <c r="AQ81" s="222"/>
      <c r="AR81" s="223">
        <f>_xlfn.XLOOKUP(D81,'Modelling New'!$D:$D,'Modelling New'!$N:$N)</f>
        <v>130</v>
      </c>
      <c r="AS81" s="223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18">
        <f>Table13[[#This Row],[Date]]-DAY(Table13[[#This Row],[Date]])+1</f>
        <v>45809</v>
      </c>
      <c r="E82" s="9">
        <f t="shared" si="5"/>
        <v>30</v>
      </c>
      <c r="F82" s="188">
        <f>IFERROR(_xlfn.XLOOKUP($A82,Input_Raw!$A:$A,Input_Raw!$FC:$FC),"")</f>
        <v>12.633333333333333</v>
      </c>
      <c r="G82" s="189">
        <f>IFERROR(_xlfn.XLOOKUP($A82,Input_Raw!$A:$A,Input_Raw!$CY:$CY),"")</f>
        <v>5.7465822250000018</v>
      </c>
      <c r="H82" s="189">
        <f>IFERROR(_xlfn.XLOOKUP($A82,Input_Raw!$A:$A,Input_Raw!$DA:$DA),"")</f>
        <v>0.97705907499999944</v>
      </c>
      <c r="I82" s="189">
        <f>IFERROR(_xlfn.XLOOKUP($A82,Input_Raw!$A:$A,Input_Raw!$CX:$CX),"")</f>
        <v>6.3338956416666674</v>
      </c>
      <c r="J82" s="189">
        <f>IFERROR(_xlfn.XLOOKUP($A82,Input_Raw!$A:$A,Input_Raw!$CZ:$CZ),"")</f>
        <v>0.76303882499999987</v>
      </c>
      <c r="K82" s="190">
        <f>IFERROR(_xlfn.XLOOKUP($A82,Input_Raw!$A:$A,Input_Raw!$DB:$DB),"")</f>
        <v>30.323383532335061</v>
      </c>
      <c r="L82" s="190">
        <f>IFERROR(_xlfn.XLOOKUP($A82,Input_Raw!$A:$A,Input_Raw!$DC:$DC),"")</f>
        <v>43.021700330446187</v>
      </c>
      <c r="M82" s="189">
        <f>IFERROR(_xlfn.XLOOKUP($A82,Input_Raw!$A:$A,Input_Raw!$DF:$DF),"")</f>
        <v>1.6040188643852149</v>
      </c>
      <c r="N82" s="189">
        <f>IFERROR(_xlfn.XLOOKUP($A82,Input_Raw!$A:$A,Input_Raw!$DG:$DG),"")</f>
        <v>4.3784999999999998</v>
      </c>
      <c r="O82" s="219">
        <f>IFERROR(1-(SUMIF(Plant_BD!$B:$B,$A82,Plant_BD!$AL:$AL)/($AA82+SUMIF(Plant_BD!$B:$B,$A82,Plant_BD!$AL:$AL))),"")</f>
        <v>1</v>
      </c>
      <c r="P82" s="219"/>
      <c r="Q82" s="220">
        <f>IFERROR(1-(SUMIF(Grid_BD!$B:$B,$A82,Grid_BD!$V:$V)/($AA82+SUMIF(Grid_BD!$B:$B,$A82,Grid_BD!$V:$V))),"")</f>
        <v>1</v>
      </c>
      <c r="R82" s="219">
        <f>IFERROR(1-(SUMIF(Grid_BD!$B:$B,$A82,Grid_BD!$V:$V)/($AA82+SUMIF(Grid_BD!$B:$B,$A82,Grid_BD!$V:$V))),"")</f>
        <v>1</v>
      </c>
      <c r="S82" s="9"/>
      <c r="T82" s="220"/>
      <c r="U82" s="221">
        <f t="shared" si="6"/>
        <v>0.75189824038873199</v>
      </c>
      <c r="V82" s="221" t="str">
        <f>IFERROR(_xlfn.XLOOKUP($A82,Input_Raw!$A:$A,Input_Raw!$FG:$FG),"")</f>
        <v/>
      </c>
      <c r="W82" s="222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78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22">
        <f>IFERROR(_xlfn.XLOOKUP($D82,'Modelling New'!$D:$D,'Modelling New'!O:O),"")</f>
        <v>0.84205181214283342</v>
      </c>
      <c r="AF82" s="222">
        <f>IFERROR(_xlfn.XLOOKUP($D82,'Modelling New'!$D:$D,'Modelling New'!W:W),"")</f>
        <v>0.17437489609791174</v>
      </c>
      <c r="AG82" s="222">
        <f>IFERROR(_xlfn.XLOOKUP($D82,'Modelling New'!$D:$D,'Modelling New'!AE:AE),"")</f>
        <v>0.995</v>
      </c>
      <c r="AH82" s="222">
        <f>IFERROR(_xlfn.XLOOKUP($D82,'Modelling New'!$D:$D,'Modelling New'!AF:AF),"")</f>
        <v>0.995</v>
      </c>
      <c r="AI82" s="9"/>
      <c r="AJ82" s="9"/>
      <c r="AK82" s="245"/>
      <c r="AL82" s="245"/>
      <c r="AM82" s="245"/>
      <c r="AN82" s="219"/>
      <c r="AO82" s="222"/>
      <c r="AP82" s="222"/>
      <c r="AQ82" s="222"/>
      <c r="AR82" s="223">
        <f>_xlfn.XLOOKUP(D82,'Modelling New'!$D:$D,'Modelling New'!$N:$N)</f>
        <v>130</v>
      </c>
      <c r="AS82" s="223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18">
        <f>Table13[[#This Row],[Date]]-DAY(Table13[[#This Row],[Date]])+1</f>
        <v>45809</v>
      </c>
      <c r="E83" s="9">
        <f t="shared" si="5"/>
        <v>30</v>
      </c>
      <c r="F83" s="188">
        <f>IFERROR(_xlfn.XLOOKUP($A83,Input_Raw!$A:$A,Input_Raw!$FC:$FC),"")</f>
        <v>12.483333333333334</v>
      </c>
      <c r="G83" s="178">
        <f>IFERROR(_xlfn.XLOOKUP($A83,Input_Raw!$A:$A,Input_Raw!$CY:$CY),"")</f>
        <v>3.5445260666666658</v>
      </c>
      <c r="H83" s="178">
        <f>IFERROR(_xlfn.XLOOKUP($A83,Input_Raw!$A:$A,Input_Raw!$DA:$DA),"")</f>
        <v>0.60833843333333348</v>
      </c>
      <c r="I83" s="178">
        <f>IFERROR(_xlfn.XLOOKUP($A83,Input_Raw!$A:$A,Input_Raw!$CX:$CX),"")</f>
        <v>3.9411315916666636</v>
      </c>
      <c r="J83" s="178">
        <f>IFERROR(_xlfn.XLOOKUP($A83,Input_Raw!$A:$A,Input_Raw!$CZ:$CZ),"")</f>
        <v>0.48998669166666686</v>
      </c>
      <c r="K83" s="190">
        <f>IFERROR(_xlfn.XLOOKUP($A83,Input_Raw!$A:$A,Input_Raw!$DB:$DB),"")</f>
        <v>29.432803541315366</v>
      </c>
      <c r="L83" s="190">
        <f>IFERROR(_xlfn.XLOOKUP($A83,Input_Raw!$A:$A,Input_Raw!$DC:$DC),"")</f>
        <v>39.176878161888695</v>
      </c>
      <c r="M83" s="189">
        <f>IFERROR(_xlfn.XLOOKUP($A83,Input_Raw!$A:$A,Input_Raw!$DF:$DF),"")</f>
        <v>1.7927618043844864</v>
      </c>
      <c r="N83" s="189">
        <f>IFERROR(_xlfn.XLOOKUP($A83,Input_Raw!$A:$A,Input_Raw!$DG:$DG),"")</f>
        <v>4.0440000000000005</v>
      </c>
      <c r="O83" s="219">
        <f>IFERROR(1-(SUMIF(Plant_BD!$B:$B,$A83,Plant_BD!$AL:$AL)/($AA83+SUMIF(Plant_BD!$B:$B,$A83,Plant_BD!$AL:$AL))),"")</f>
        <v>0.99996462363690697</v>
      </c>
      <c r="P83" s="219"/>
      <c r="Q83" s="220">
        <f>IFERROR(1-(SUMIF(Grid_BD!$B:$B,$A83,Grid_BD!$V:$V)/($AA83+SUMIF(Grid_BD!$B:$B,$A83,Grid_BD!$V:$V))),"")</f>
        <v>1</v>
      </c>
      <c r="R83" s="219">
        <f>IFERROR(1-(SUMIF(Grid_BD!$B:$B,$A83,Grid_BD!$V:$V)/($AA83+SUMIF(Grid_BD!$B:$B,$A83,Grid_BD!$V:$V))),"")</f>
        <v>1</v>
      </c>
      <c r="S83" s="9"/>
      <c r="T83" s="220"/>
      <c r="U83" s="221">
        <f t="shared" si="6"/>
        <v>0.79343749176105316</v>
      </c>
      <c r="V83" s="221" t="str">
        <f>IFERROR(_xlfn.XLOOKUP($A83,Input_Raw!$A:$A,Input_Raw!$FG:$FG),"")</f>
        <v/>
      </c>
      <c r="W83" s="222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78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22">
        <f>IFERROR(_xlfn.XLOOKUP($D83,'Modelling New'!$D:$D,'Modelling New'!O:O),"")</f>
        <v>0.84205181214283342</v>
      </c>
      <c r="AF83" s="222">
        <f>IFERROR(_xlfn.XLOOKUP($D83,'Modelling New'!$D:$D,'Modelling New'!W:W),"")</f>
        <v>0.17437489609791174</v>
      </c>
      <c r="AG83" s="222">
        <f>IFERROR(_xlfn.XLOOKUP($D83,'Modelling New'!$D:$D,'Modelling New'!AE:AE),"")</f>
        <v>0.995</v>
      </c>
      <c r="AH83" s="222">
        <f>IFERROR(_xlfn.XLOOKUP($D83,'Modelling New'!$D:$D,'Modelling New'!AF:AF),"")</f>
        <v>0.995</v>
      </c>
      <c r="AI83" s="9"/>
      <c r="AJ83" s="9"/>
      <c r="AK83" s="245"/>
      <c r="AL83" s="245"/>
      <c r="AM83" s="245"/>
      <c r="AN83" s="219"/>
      <c r="AO83" s="222"/>
      <c r="AP83" s="222"/>
      <c r="AQ83" s="222"/>
      <c r="AR83" s="223">
        <f>_xlfn.XLOOKUP(D83,'Modelling New'!$D:$D,'Modelling New'!$N:$N)</f>
        <v>130</v>
      </c>
      <c r="AS83" s="223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18">
        <f>Table13[[#This Row],[Date]]-DAY(Table13[[#This Row],[Date]])+1</f>
        <v>45809</v>
      </c>
      <c r="E84" s="9">
        <f t="shared" si="5"/>
        <v>30</v>
      </c>
      <c r="F84" s="188">
        <f>IFERROR(_xlfn.XLOOKUP($A84,Input_Raw!$A:$A,Input_Raw!$FC:$FC),"")</f>
        <v>12.666666666666668</v>
      </c>
      <c r="G84" s="189">
        <f>IFERROR(_xlfn.XLOOKUP($A84,Input_Raw!$A:$A,Input_Raw!$CY:$CY),"")</f>
        <v>3.4232248749999949</v>
      </c>
      <c r="H84" s="189">
        <f>IFERROR(_xlfn.XLOOKUP($A84,Input_Raw!$A:$A,Input_Raw!$DA:$DA),"")</f>
        <v>0.58472015833333357</v>
      </c>
      <c r="I84" s="189">
        <f>IFERROR(_xlfn.XLOOKUP($A84,Input_Raw!$A:$A,Input_Raw!$CX:$CX),"")</f>
        <v>3.8326475416666637</v>
      </c>
      <c r="J84" s="189">
        <f>IFERROR(_xlfn.XLOOKUP($A84,Input_Raw!$A:$A,Input_Raw!$CZ:$CZ),"")</f>
        <v>0.47186016666666647</v>
      </c>
      <c r="K84" s="190">
        <f>IFERROR(_xlfn.XLOOKUP($A84,Input_Raw!$A:$A,Input_Raw!$DB:$DB),"")</f>
        <v>27.08454280300618</v>
      </c>
      <c r="L84" s="190">
        <f>IFERROR(_xlfn.XLOOKUP($A84,Input_Raw!$A:$A,Input_Raw!$DC:$DC),"")</f>
        <v>36.296210168242141</v>
      </c>
      <c r="M84" s="189">
        <f>IFERROR(_xlfn.XLOOKUP($A84,Input_Raw!$A:$A,Input_Raw!$DF:$DF),"")</f>
        <v>1.6485677133231131</v>
      </c>
      <c r="N84" s="189">
        <f>IFERROR(_xlfn.XLOOKUP($A84,Input_Raw!$A:$A,Input_Raw!$DG:$DG),"")</f>
        <v>4.8765000000000001</v>
      </c>
      <c r="O84" s="219">
        <f>IFERROR(1-(SUMIF(Plant_BD!$B:$B,$A84,Plant_BD!$AL:$AL)/($AA84+SUMIF(Plant_BD!$B:$B,$A84,Plant_BD!$AL:$AL))),"")</f>
        <v>1</v>
      </c>
      <c r="P84" s="219"/>
      <c r="Q84" s="220">
        <f>IFERROR(1-(SUMIF(Grid_BD!$B:$B,$A84,Grid_BD!$V:$V)/($AA84+SUMIF(Grid_BD!$B:$B,$A84,Grid_BD!$V:$V))),"")</f>
        <v>1</v>
      </c>
      <c r="R84" s="219">
        <f>IFERROR(1-(SUMIF(Grid_BD!$B:$B,$A84,Grid_BD!$V:$V)/($AA84+SUMIF(Grid_BD!$B:$B,$A84,Grid_BD!$V:$V))),"")</f>
        <v>1</v>
      </c>
      <c r="S84" s="9"/>
      <c r="T84" s="220"/>
      <c r="U84" s="221">
        <f t="shared" si="6"/>
        <v>0.80793448489471409</v>
      </c>
      <c r="V84" s="221" t="str">
        <f>IFERROR(_xlfn.XLOOKUP($A84,Input_Raw!$A:$A,Input_Raw!$FG:$FG),"")</f>
        <v/>
      </c>
      <c r="W84" s="222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78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22">
        <f>IFERROR(_xlfn.XLOOKUP($D84,'Modelling New'!$D:$D,'Modelling New'!O:O),"")</f>
        <v>0.84205181214283342</v>
      </c>
      <c r="AF84" s="222">
        <f>IFERROR(_xlfn.XLOOKUP($D84,'Modelling New'!$D:$D,'Modelling New'!W:W),"")</f>
        <v>0.17437489609791174</v>
      </c>
      <c r="AG84" s="222">
        <f>IFERROR(_xlfn.XLOOKUP($D84,'Modelling New'!$D:$D,'Modelling New'!AE:AE),"")</f>
        <v>0.995</v>
      </c>
      <c r="AH84" s="222">
        <f>IFERROR(_xlfn.XLOOKUP($D84,'Modelling New'!$D:$D,'Modelling New'!AF:AF),"")</f>
        <v>0.995</v>
      </c>
      <c r="AI84" s="9"/>
      <c r="AJ84" s="9"/>
      <c r="AK84" s="245"/>
      <c r="AL84" s="245"/>
      <c r="AM84" s="245"/>
      <c r="AN84" s="219"/>
      <c r="AO84" s="222"/>
      <c r="AP84" s="222"/>
      <c r="AQ84" s="222"/>
      <c r="AR84" s="223">
        <f>_xlfn.XLOOKUP(D84,'Modelling New'!$D:$D,'Modelling New'!$N:$N)</f>
        <v>130</v>
      </c>
      <c r="AS84" s="223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18">
        <f>Table13[[#This Row],[Date]]-DAY(Table13[[#This Row],[Date]])+1</f>
        <v>45809</v>
      </c>
      <c r="E85" s="9">
        <f t="shared" si="5"/>
        <v>30</v>
      </c>
      <c r="F85" s="188">
        <f>IFERROR(_xlfn.XLOOKUP($A85,Input_Raw!$A:$A,Input_Raw!$FC:$FC),"")</f>
        <v>12.666666666666668</v>
      </c>
      <c r="G85" s="178">
        <f>IFERROR(_xlfn.XLOOKUP($A85,Input_Raw!$A:$A,Input_Raw!$CY:$CY),"")</f>
        <v>6.091500899999998</v>
      </c>
      <c r="H85" s="178">
        <f>IFERROR(_xlfn.XLOOKUP($A85,Input_Raw!$A:$A,Input_Raw!$DA:$DA),"")</f>
        <v>1.0516083749999998</v>
      </c>
      <c r="I85" s="178">
        <f>IFERROR(_xlfn.XLOOKUP($A85,Input_Raw!$A:$A,Input_Raw!$CX:$CX),"")</f>
        <v>6.6175268083333307</v>
      </c>
      <c r="J85" s="178">
        <f>IFERROR(_xlfn.XLOOKUP($A85,Input_Raw!$A:$A,Input_Raw!$CZ:$CZ),"")</f>
        <v>0.84538910833333458</v>
      </c>
      <c r="K85" s="190">
        <f>IFERROR(_xlfn.XLOOKUP($A85,Input_Raw!$A:$A,Input_Raw!$DB:$DB),"")</f>
        <v>29.601305418719186</v>
      </c>
      <c r="L85" s="190">
        <f>IFERROR(_xlfn.XLOOKUP($A85,Input_Raw!$A:$A,Input_Raw!$DC:$DC),"")</f>
        <v>41.254690476190468</v>
      </c>
      <c r="M85" s="189">
        <f>IFERROR(_xlfn.XLOOKUP($A85,Input_Raw!$A:$A,Input_Raw!$DF:$DF),"")</f>
        <v>2.0490628078817741</v>
      </c>
      <c r="N85" s="189">
        <f>IFERROR(_xlfn.XLOOKUP($A85,Input_Raw!$A:$A,Input_Raw!$DG:$DG),"")</f>
        <v>4.6844999999999999</v>
      </c>
      <c r="O85" s="219">
        <f>IFERROR(1-(SUMIF(Plant_BD!$B:$B,$A85,Plant_BD!$AL:$AL)/($AA85+SUMIF(Plant_BD!$B:$B,$A85,Plant_BD!$AL:$AL))),"")</f>
        <v>1</v>
      </c>
      <c r="P85" s="219"/>
      <c r="Q85" s="220">
        <f>IFERROR(1-(SUMIF(Grid_BD!$B:$B,$A85,Grid_BD!$V:$V)/($AA85+SUMIF(Grid_BD!$B:$B,$A85,Grid_BD!$V:$V))),"")</f>
        <v>1</v>
      </c>
      <c r="R85" s="219">
        <f>IFERROR(1-(SUMIF(Grid_BD!$B:$B,$A85,Grid_BD!$V:$V)/($AA85+SUMIF(Grid_BD!$B:$B,$A85,Grid_BD!$V:$V))),"")</f>
        <v>1</v>
      </c>
      <c r="S85" s="9"/>
      <c r="T85" s="220"/>
      <c r="U85" s="221">
        <f t="shared" si="6"/>
        <v>0.76108180041846774</v>
      </c>
      <c r="V85" s="221" t="str">
        <f>IFERROR(_xlfn.XLOOKUP($A85,Input_Raw!$A:$A,Input_Raw!$FG:$FG),"")</f>
        <v/>
      </c>
      <c r="W85" s="222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78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22">
        <f>IFERROR(_xlfn.XLOOKUP($D85,'Modelling New'!$D:$D,'Modelling New'!O:O),"")</f>
        <v>0.84205181214283342</v>
      </c>
      <c r="AF85" s="222">
        <f>IFERROR(_xlfn.XLOOKUP($D85,'Modelling New'!$D:$D,'Modelling New'!W:W),"")</f>
        <v>0.17437489609791174</v>
      </c>
      <c r="AG85" s="222">
        <f>IFERROR(_xlfn.XLOOKUP($D85,'Modelling New'!$D:$D,'Modelling New'!AE:AE),"")</f>
        <v>0.995</v>
      </c>
      <c r="AH85" s="222">
        <f>IFERROR(_xlfn.XLOOKUP($D85,'Modelling New'!$D:$D,'Modelling New'!AF:AF),"")</f>
        <v>0.995</v>
      </c>
      <c r="AI85" s="9"/>
      <c r="AJ85" s="9"/>
      <c r="AK85" s="245"/>
      <c r="AL85" s="245"/>
      <c r="AM85" s="245"/>
      <c r="AN85" s="219"/>
      <c r="AO85" s="222"/>
      <c r="AP85" s="222"/>
      <c r="AQ85" s="222"/>
      <c r="AR85" s="223">
        <f>_xlfn.XLOOKUP(D85,'Modelling New'!$D:$D,'Modelling New'!$N:$N)</f>
        <v>130</v>
      </c>
      <c r="AS85" s="223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18">
        <f>Table13[[#This Row],[Date]]-DAY(Table13[[#This Row],[Date]])+1</f>
        <v>45809</v>
      </c>
      <c r="E86" s="9">
        <f t="shared" si="5"/>
        <v>30</v>
      </c>
      <c r="F86" s="188">
        <f>IFERROR(_xlfn.XLOOKUP($A86,Input_Raw!$A:$A,Input_Raw!$FC:$FC),"")</f>
        <v>12.5</v>
      </c>
      <c r="G86" s="189">
        <f>IFERROR(_xlfn.XLOOKUP($A86,Input_Raw!$A:$A,Input_Raw!$CY:$CY),"")</f>
        <v>4.8533310416666682</v>
      </c>
      <c r="H86" s="189">
        <f>IFERROR(_xlfn.XLOOKUP($A86,Input_Raw!$A:$A,Input_Raw!$DA:$DA),"")</f>
        <v>0.84240290833333398</v>
      </c>
      <c r="I86" s="189">
        <f>IFERROR(_xlfn.XLOOKUP($A86,Input_Raw!$A:$A,Input_Raw!$CX:$CX),"")</f>
        <v>5.3592932416666681</v>
      </c>
      <c r="J86" s="189">
        <f>IFERROR(_xlfn.XLOOKUP($A86,Input_Raw!$A:$A,Input_Raw!$CZ:$CZ),"")</f>
        <v>0.68392808333333399</v>
      </c>
      <c r="K86" s="190">
        <f>IFERROR(_xlfn.XLOOKUP($A86,Input_Raw!$A:$A,Input_Raw!$DB:$DB),"")</f>
        <v>29.185792634107244</v>
      </c>
      <c r="L86" s="190">
        <f>IFERROR(_xlfn.XLOOKUP($A86,Input_Raw!$A:$A,Input_Raw!$DC:$DC),"")</f>
        <v>39.942155724579699</v>
      </c>
      <c r="M86" s="189">
        <f>IFERROR(_xlfn.XLOOKUP($A86,Input_Raw!$A:$A,Input_Raw!$DF:$DF),"")</f>
        <v>1.9041088871096852</v>
      </c>
      <c r="N86" s="189">
        <f>IFERROR(_xlfn.XLOOKUP($A86,Input_Raw!$A:$A,Input_Raw!$DG:$DG),"")</f>
        <v>4.5525000000000002</v>
      </c>
      <c r="O86" s="219">
        <f>IFERROR(1-(SUMIF(Plant_BD!$B:$B,$A86,Plant_BD!$AL:$AL)/($AA86+SUMIF(Plant_BD!$B:$B,$A86,Plant_BD!$AL:$AL))),"")</f>
        <v>1</v>
      </c>
      <c r="P86" s="219"/>
      <c r="Q86" s="220">
        <f>IFERROR(1-(SUMIF(Grid_BD!$B:$B,$A86,Grid_BD!$V:$V)/($AA86+SUMIF(Grid_BD!$B:$B,$A86,Grid_BD!$V:$V))),"")</f>
        <v>1</v>
      </c>
      <c r="R86" s="219">
        <f>IFERROR(1-(SUMIF(Grid_BD!$B:$B,$A86,Grid_BD!$V:$V)/($AA86+SUMIF(Grid_BD!$B:$B,$A86,Grid_BD!$V:$V))),"")</f>
        <v>1</v>
      </c>
      <c r="S86" s="9"/>
      <c r="T86" s="220"/>
      <c r="U86" s="221">
        <f t="shared" si="6"/>
        <v>0.78976220301905131</v>
      </c>
      <c r="V86" s="221" t="str">
        <f>IFERROR(_xlfn.XLOOKUP($A86,Input_Raw!$A:$A,Input_Raw!$FG:$FG),"")</f>
        <v/>
      </c>
      <c r="W86" s="222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78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22">
        <f>IFERROR(_xlfn.XLOOKUP($D86,'Modelling New'!$D:$D,'Modelling New'!O:O),"")</f>
        <v>0.84205181214283342</v>
      </c>
      <c r="AF86" s="222">
        <f>IFERROR(_xlfn.XLOOKUP($D86,'Modelling New'!$D:$D,'Modelling New'!W:W),"")</f>
        <v>0.17437489609791174</v>
      </c>
      <c r="AG86" s="222">
        <f>IFERROR(_xlfn.XLOOKUP($D86,'Modelling New'!$D:$D,'Modelling New'!AE:AE),"")</f>
        <v>0.995</v>
      </c>
      <c r="AH86" s="222">
        <f>IFERROR(_xlfn.XLOOKUP($D86,'Modelling New'!$D:$D,'Modelling New'!AF:AF),"")</f>
        <v>0.995</v>
      </c>
      <c r="AI86" s="9"/>
      <c r="AJ86" s="9"/>
      <c r="AK86" s="245"/>
      <c r="AL86" s="245"/>
      <c r="AM86" s="245"/>
      <c r="AN86" s="219"/>
      <c r="AO86" s="222"/>
      <c r="AP86" s="222"/>
      <c r="AQ86" s="222"/>
      <c r="AR86" s="223">
        <f>_xlfn.XLOOKUP(D86,'Modelling New'!$D:$D,'Modelling New'!$N:$N)</f>
        <v>130</v>
      </c>
      <c r="AS86" s="223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18">
        <f>Table13[[#This Row],[Date]]-DAY(Table13[[#This Row],[Date]])+1</f>
        <v>45809</v>
      </c>
      <c r="E87" s="9">
        <f t="shared" si="5"/>
        <v>30</v>
      </c>
      <c r="F87" s="188">
        <f>IFERROR(_xlfn.XLOOKUP($A87,Input_Raw!$A:$A,Input_Raw!$FC:$FC),"")</f>
        <v>12.400000000000002</v>
      </c>
      <c r="G87" s="178">
        <f>IFERROR(_xlfn.XLOOKUP($A87,Input_Raw!$A:$A,Input_Raw!$CY:$CY),"")</f>
        <v>2.7058742083333334</v>
      </c>
      <c r="H87" s="178">
        <f>IFERROR(_xlfn.XLOOKUP($A87,Input_Raw!$A:$A,Input_Raw!$DA:$DA),"")</f>
        <v>0.47660349999999946</v>
      </c>
      <c r="I87" s="178">
        <f>IFERROR(_xlfn.XLOOKUP($A87,Input_Raw!$A:$A,Input_Raw!$CX:$CX),"")</f>
        <v>3.0655115333333334</v>
      </c>
      <c r="J87" s="178">
        <f>IFERROR(_xlfn.XLOOKUP($A87,Input_Raw!$A:$A,Input_Raw!$CZ:$CZ),"")</f>
        <v>0.38400318333333361</v>
      </c>
      <c r="K87" s="190">
        <f>IFERROR(_xlfn.XLOOKUP($A87,Input_Raw!$A:$A,Input_Raw!$DB:$DB),"")</f>
        <v>28.700523605150245</v>
      </c>
      <c r="L87" s="190">
        <f>IFERROR(_xlfn.XLOOKUP($A87,Input_Raw!$A:$A,Input_Raw!$DC:$DC),"")</f>
        <v>37.405570386266092</v>
      </c>
      <c r="M87" s="189">
        <f>IFERROR(_xlfn.XLOOKUP($A87,Input_Raw!$A:$A,Input_Raw!$DF:$DF),"")</f>
        <v>1.8765553648068662</v>
      </c>
      <c r="N87" s="189">
        <f>IFERROR(_xlfn.XLOOKUP($A87,Input_Raw!$A:$A,Input_Raw!$DG:$DG),"")</f>
        <v>4.4789999999999992</v>
      </c>
      <c r="O87" s="219">
        <f>IFERROR(1-(SUMIF(Plant_BD!$B:$B,$A87,Plant_BD!$AL:$AL)/($AA87+SUMIF(Plant_BD!$B:$B,$A87,Plant_BD!$AL:$AL))),"")</f>
        <v>1</v>
      </c>
      <c r="P87" s="219"/>
      <c r="Q87" s="220">
        <f>IFERROR(1-(SUMIF(Grid_BD!$B:$B,$A87,Grid_BD!$V:$V)/($AA87+SUMIF(Grid_BD!$B:$B,$A87,Grid_BD!$V:$V))),"")</f>
        <v>1</v>
      </c>
      <c r="R87" s="219">
        <f>IFERROR(1-(SUMIF(Grid_BD!$B:$B,$A87,Grid_BD!$V:$V)/($AA87+SUMIF(Grid_BD!$B:$B,$A87,Grid_BD!$V:$V))),"")</f>
        <v>1</v>
      </c>
      <c r="S87" s="9"/>
      <c r="T87" s="220"/>
      <c r="U87" s="221">
        <f t="shared" si="6"/>
        <v>0.8657880098394084</v>
      </c>
      <c r="V87" s="221" t="str">
        <f>IFERROR(_xlfn.XLOOKUP($A87,Input_Raw!$A:$A,Input_Raw!$FG:$FG),"")</f>
        <v/>
      </c>
      <c r="W87" s="222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78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22">
        <f>IFERROR(_xlfn.XLOOKUP($D87,'Modelling New'!$D:$D,'Modelling New'!O:O),"")</f>
        <v>0.84205181214283342</v>
      </c>
      <c r="AF87" s="222">
        <f>IFERROR(_xlfn.XLOOKUP($D87,'Modelling New'!$D:$D,'Modelling New'!W:W),"")</f>
        <v>0.17437489609791174</v>
      </c>
      <c r="AG87" s="222">
        <f>IFERROR(_xlfn.XLOOKUP($D87,'Modelling New'!$D:$D,'Modelling New'!AE:AE),"")</f>
        <v>0.995</v>
      </c>
      <c r="AH87" s="222">
        <f>IFERROR(_xlfn.XLOOKUP($D87,'Modelling New'!$D:$D,'Modelling New'!AF:AF),"")</f>
        <v>0.995</v>
      </c>
      <c r="AI87" s="9"/>
      <c r="AJ87" s="9"/>
      <c r="AK87" s="245"/>
      <c r="AL87" s="245"/>
      <c r="AM87" s="245"/>
      <c r="AN87" s="219"/>
      <c r="AO87" s="222"/>
      <c r="AP87" s="222"/>
      <c r="AQ87" s="222"/>
      <c r="AR87" s="223">
        <f>_xlfn.XLOOKUP(D87,'Modelling New'!$D:$D,'Modelling New'!$N:$N)</f>
        <v>130</v>
      </c>
      <c r="AS87" s="223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18">
        <f>Table13[[#This Row],[Date]]-DAY(Table13[[#This Row],[Date]])+1</f>
        <v>45809</v>
      </c>
      <c r="E88" s="9">
        <f t="shared" si="5"/>
        <v>30</v>
      </c>
      <c r="F88" s="188">
        <f>IFERROR(_xlfn.XLOOKUP($A88,Input_Raw!$A:$A,Input_Raw!$FC:$FC),"")</f>
        <v>12.583333333333334</v>
      </c>
      <c r="G88" s="189">
        <f>IFERROR(_xlfn.XLOOKUP($A88,Input_Raw!$A:$A,Input_Raw!$CY:$CY),"")</f>
        <v>2.7140857333333317</v>
      </c>
      <c r="H88" s="189">
        <f>IFERROR(_xlfn.XLOOKUP($A88,Input_Raw!$A:$A,Input_Raw!$DA:$DA),"")</f>
        <v>0.47810650000000032</v>
      </c>
      <c r="I88" s="189">
        <f>IFERROR(_xlfn.XLOOKUP($A88,Input_Raw!$A:$A,Input_Raw!$CX:$CX),"")</f>
        <v>3.0970984583333321</v>
      </c>
      <c r="J88" s="189">
        <f>IFERROR(_xlfn.XLOOKUP($A88,Input_Raw!$A:$A,Input_Raw!$CZ:$CZ),"")</f>
        <v>0.38046089166666675</v>
      </c>
      <c r="K88" s="190">
        <f>IFERROR(_xlfn.XLOOKUP($A88,Input_Raw!$A:$A,Input_Raw!$DB:$DB),"")</f>
        <v>27.911115451388891</v>
      </c>
      <c r="L88" s="190">
        <f>IFERROR(_xlfn.XLOOKUP($A88,Input_Raw!$A:$A,Input_Raw!$DC:$DC),"")</f>
        <v>36.74749045138887</v>
      </c>
      <c r="M88" s="189">
        <f>IFERROR(_xlfn.XLOOKUP($A88,Input_Raw!$A:$A,Input_Raw!$DF:$DF),"")</f>
        <v>1.8272382812500019</v>
      </c>
      <c r="N88" s="189">
        <f>IFERROR(_xlfn.XLOOKUP($A88,Input_Raw!$A:$A,Input_Raw!$DG:$DG),"")</f>
        <v>4.6604999999999999</v>
      </c>
      <c r="O88" s="219">
        <f>IFERROR(1-(SUMIF(Plant_BD!$B:$B,$A88,Plant_BD!$AL:$AL)/($AA88+SUMIF(Plant_BD!$B:$B,$A88,Plant_BD!$AL:$AL))),"")</f>
        <v>1</v>
      </c>
      <c r="P88" s="219"/>
      <c r="Q88" s="220">
        <f>IFERROR(1-(SUMIF(Grid_BD!$B:$B,$A88,Grid_BD!$V:$V)/($AA88+SUMIF(Grid_BD!$B:$B,$A88,Grid_BD!$V:$V))),"")</f>
        <v>1</v>
      </c>
      <c r="R88" s="219">
        <f>IFERROR(1-(SUMIF(Grid_BD!$B:$B,$A88,Grid_BD!$V:$V)/($AA88+SUMIF(Grid_BD!$B:$B,$A88,Grid_BD!$V:$V))),"")</f>
        <v>1</v>
      </c>
      <c r="S88" s="9"/>
      <c r="T88" s="220"/>
      <c r="U88" s="221">
        <f t="shared" si="6"/>
        <v>0.86264194616615364</v>
      </c>
      <c r="V88" s="221" t="str">
        <f>IFERROR(_xlfn.XLOOKUP($A88,Input_Raw!$A:$A,Input_Raw!$FG:$FG),"")</f>
        <v/>
      </c>
      <c r="W88" s="222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78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22">
        <f>IFERROR(_xlfn.XLOOKUP($D88,'Modelling New'!$D:$D,'Modelling New'!O:O),"")</f>
        <v>0.84205181214283342</v>
      </c>
      <c r="AF88" s="222">
        <f>IFERROR(_xlfn.XLOOKUP($D88,'Modelling New'!$D:$D,'Modelling New'!W:W),"")</f>
        <v>0.17437489609791174</v>
      </c>
      <c r="AG88" s="222">
        <f>IFERROR(_xlfn.XLOOKUP($D88,'Modelling New'!$D:$D,'Modelling New'!AE:AE),"")</f>
        <v>0.995</v>
      </c>
      <c r="AH88" s="222">
        <f>IFERROR(_xlfn.XLOOKUP($D88,'Modelling New'!$D:$D,'Modelling New'!AF:AF),"")</f>
        <v>0.995</v>
      </c>
      <c r="AI88" s="9"/>
      <c r="AJ88" s="9"/>
      <c r="AK88" s="245"/>
      <c r="AL88" s="245"/>
      <c r="AM88" s="245"/>
      <c r="AN88" s="219"/>
      <c r="AO88" s="222"/>
      <c r="AP88" s="222"/>
      <c r="AQ88" s="222"/>
      <c r="AR88" s="223">
        <f>_xlfn.XLOOKUP(D88,'Modelling New'!$D:$D,'Modelling New'!$N:$N)</f>
        <v>130</v>
      </c>
      <c r="AS88" s="223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18">
        <f>Table13[[#This Row],[Date]]-DAY(Table13[[#This Row],[Date]])+1</f>
        <v>45809</v>
      </c>
      <c r="E89" s="9">
        <f t="shared" si="5"/>
        <v>30</v>
      </c>
      <c r="F89" s="188">
        <f>IFERROR(_xlfn.XLOOKUP($A89,Input_Raw!$A:$A,Input_Raw!$FC:$FC),"")</f>
        <v>11.866666666666665</v>
      </c>
      <c r="G89" s="178">
        <f>IFERROR(_xlfn.XLOOKUP($A89,Input_Raw!$A:$A,Input_Raw!$CY:$CY),"")</f>
        <v>1.4411967166666673</v>
      </c>
      <c r="H89" s="178">
        <f>IFERROR(_xlfn.XLOOKUP($A89,Input_Raw!$A:$A,Input_Raw!$DA:$DA),"")</f>
        <v>0.24973651666666646</v>
      </c>
      <c r="I89" s="178">
        <f>IFERROR(_xlfn.XLOOKUP($A89,Input_Raw!$A:$A,Input_Raw!$CX:$CX),"")</f>
        <v>1.648576358333333</v>
      </c>
      <c r="J89" s="178">
        <f>IFERROR(_xlfn.XLOOKUP($A89,Input_Raw!$A:$A,Input_Raw!$CZ:$CZ),"")</f>
        <v>0.20362975833333302</v>
      </c>
      <c r="K89" s="190">
        <f>IFERROR(_xlfn.XLOOKUP($A89,Input_Raw!$A:$A,Input_Raw!$DB:$DB),"")</f>
        <v>26.246959854014591</v>
      </c>
      <c r="L89" s="190">
        <f>IFERROR(_xlfn.XLOOKUP($A89,Input_Raw!$A:$A,Input_Raw!$DC:$DC),"")</f>
        <v>32.732820072992688</v>
      </c>
      <c r="M89" s="189">
        <f>IFERROR(_xlfn.XLOOKUP($A89,Input_Raw!$A:$A,Input_Raw!$DF:$DF),"")</f>
        <v>1.0584021897810221</v>
      </c>
      <c r="N89" s="189">
        <f>IFERROR(_xlfn.XLOOKUP($A89,Input_Raw!$A:$A,Input_Raw!$DG:$DG),"")</f>
        <v>3.48</v>
      </c>
      <c r="O89" s="219">
        <f>IFERROR(1-(SUMIF(Plant_BD!$B:$B,$A89,Plant_BD!$AL:$AL)/($AA89+SUMIF(Plant_BD!$B:$B,$A89,Plant_BD!$AL:$AL))),"")</f>
        <v>1</v>
      </c>
      <c r="P89" s="219"/>
      <c r="Q89" s="220">
        <f>IFERROR(1-(SUMIF(Grid_BD!$B:$B,$A89,Grid_BD!$V:$V)/($AA89+SUMIF(Grid_BD!$B:$B,$A89,Grid_BD!$V:$V))),"")</f>
        <v>0.39448303822173258</v>
      </c>
      <c r="R89" s="219">
        <f>IFERROR(1-(SUMIF(Grid_BD!$B:$B,$A89,Grid_BD!$V:$V)/($AA89+SUMIF(Grid_BD!$B:$B,$A89,Grid_BD!$V:$V))),"")</f>
        <v>0.39448303822173258</v>
      </c>
      <c r="S89" s="9"/>
      <c r="T89" s="220"/>
      <c r="U89" s="221">
        <f t="shared" si="6"/>
        <v>0.33941571030446255</v>
      </c>
      <c r="V89" s="221" t="str">
        <f>IFERROR(_xlfn.XLOOKUP($A89,Input_Raw!$A:$A,Input_Raw!$FG:$FG),"")</f>
        <v/>
      </c>
      <c r="W89" s="222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78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22">
        <f>IFERROR(_xlfn.XLOOKUP($D89,'Modelling New'!$D:$D,'Modelling New'!O:O),"")</f>
        <v>0.84205181214283342</v>
      </c>
      <c r="AF89" s="222">
        <f>IFERROR(_xlfn.XLOOKUP($D89,'Modelling New'!$D:$D,'Modelling New'!W:W),"")</f>
        <v>0.17437489609791174</v>
      </c>
      <c r="AG89" s="222">
        <f>IFERROR(_xlfn.XLOOKUP($D89,'Modelling New'!$D:$D,'Modelling New'!AE:AE),"")</f>
        <v>0.995</v>
      </c>
      <c r="AH89" s="222">
        <f>IFERROR(_xlfn.XLOOKUP($D89,'Modelling New'!$D:$D,'Modelling New'!AF:AF),"")</f>
        <v>0.995</v>
      </c>
      <c r="AI89" s="9"/>
      <c r="AJ89" s="9"/>
      <c r="AK89" s="245"/>
      <c r="AL89" s="245"/>
      <c r="AM89" s="245"/>
      <c r="AN89" s="219"/>
      <c r="AO89" s="222"/>
      <c r="AP89" s="222"/>
      <c r="AQ89" s="222"/>
      <c r="AR89" s="223">
        <f>_xlfn.XLOOKUP(D89,'Modelling New'!$D:$D,'Modelling New'!$N:$N)</f>
        <v>130</v>
      </c>
      <c r="AS89" s="223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18">
        <f>Table13[[#This Row],[Date]]-DAY(Table13[[#This Row],[Date]])+1</f>
        <v>45809</v>
      </c>
      <c r="E90" s="9">
        <f t="shared" si="5"/>
        <v>30</v>
      </c>
      <c r="F90" s="188">
        <f>IFERROR(_xlfn.XLOOKUP($A90,Input_Raw!$A:$A,Input_Raw!$FC:$FC),"")</f>
        <v>12.233333333333333</v>
      </c>
      <c r="G90" s="189">
        <f>IFERROR(_xlfn.XLOOKUP($A90,Input_Raw!$A:$A,Input_Raw!$CY:$CY),"")</f>
        <v>2.7174229166666666</v>
      </c>
      <c r="H90" s="189">
        <f>IFERROR(_xlfn.XLOOKUP($A90,Input_Raw!$A:$A,Input_Raw!$DA:$DA),"")</f>
        <v>0.46287743333333359</v>
      </c>
      <c r="I90" s="189">
        <f>IFERROR(_xlfn.XLOOKUP($A90,Input_Raw!$A:$A,Input_Raw!$CX:$CX),"")</f>
        <v>3.0750884750000003</v>
      </c>
      <c r="J90" s="189">
        <f>IFERROR(_xlfn.XLOOKUP($A90,Input_Raw!$A:$A,Input_Raw!$CZ:$CZ),"")</f>
        <v>0.37643532500000032</v>
      </c>
      <c r="K90" s="190">
        <f>IFERROR(_xlfn.XLOOKUP($A90,Input_Raw!$A:$A,Input_Raw!$DB:$DB),"")</f>
        <v>27.207190146266385</v>
      </c>
      <c r="L90" s="190">
        <f>IFERROR(_xlfn.XLOOKUP($A90,Input_Raw!$A:$A,Input_Raw!$DC:$DC),"")</f>
        <v>35.735386451116192</v>
      </c>
      <c r="M90" s="189">
        <f>IFERROR(_xlfn.XLOOKUP($A90,Input_Raw!$A:$A,Input_Raw!$DF:$DF),"")</f>
        <v>1.0114318706697463</v>
      </c>
      <c r="N90" s="189">
        <f>IFERROR(_xlfn.XLOOKUP($A90,Input_Raw!$A:$A,Input_Raw!$DG:$DG),"")</f>
        <v>3.1095000000000002</v>
      </c>
      <c r="O90" s="219">
        <f>IFERROR(1-(SUMIF(Plant_BD!$B:$B,$A90,Plant_BD!$AL:$AL)/($AA90+SUMIF(Plant_BD!$B:$B,$A90,Plant_BD!$AL:$AL))),"")</f>
        <v>1</v>
      </c>
      <c r="P90" s="219"/>
      <c r="Q90" s="220">
        <f>IFERROR(1-(SUMIF(Grid_BD!$B:$B,$A90,Grid_BD!$V:$V)/($AA90+SUMIF(Grid_BD!$B:$B,$A90,Grid_BD!$V:$V))),"")</f>
        <v>1</v>
      </c>
      <c r="R90" s="219">
        <f>IFERROR(1-(SUMIF(Grid_BD!$B:$B,$A90,Grid_BD!$V:$V)/($AA90+SUMIF(Grid_BD!$B:$B,$A90,Grid_BD!$V:$V))),"")</f>
        <v>1</v>
      </c>
      <c r="S90" s="9"/>
      <c r="T90" s="220"/>
      <c r="U90" s="221">
        <f t="shared" si="6"/>
        <v>0.82347436590958856</v>
      </c>
      <c r="V90" s="221" t="str">
        <f>IFERROR(_xlfn.XLOOKUP($A90,Input_Raw!$A:$A,Input_Raw!$FG:$FG),"")</f>
        <v/>
      </c>
      <c r="W90" s="222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78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22">
        <f>IFERROR(_xlfn.XLOOKUP($D90,'Modelling New'!$D:$D,'Modelling New'!O:O),"")</f>
        <v>0.84205181214283342</v>
      </c>
      <c r="AF90" s="222">
        <f>IFERROR(_xlfn.XLOOKUP($D90,'Modelling New'!$D:$D,'Modelling New'!W:W),"")</f>
        <v>0.17437489609791174</v>
      </c>
      <c r="AG90" s="222">
        <f>IFERROR(_xlfn.XLOOKUP($D90,'Modelling New'!$D:$D,'Modelling New'!AE:AE),"")</f>
        <v>0.995</v>
      </c>
      <c r="AH90" s="222">
        <f>IFERROR(_xlfn.XLOOKUP($D90,'Modelling New'!$D:$D,'Modelling New'!AF:AF),"")</f>
        <v>0.995</v>
      </c>
      <c r="AI90" s="9"/>
      <c r="AJ90" s="9"/>
      <c r="AK90" s="245"/>
      <c r="AL90" s="245"/>
      <c r="AM90" s="245"/>
      <c r="AN90" s="219"/>
      <c r="AO90" s="222"/>
      <c r="AP90" s="222"/>
      <c r="AQ90" s="222"/>
      <c r="AR90" s="223">
        <f>_xlfn.XLOOKUP(D90,'Modelling New'!$D:$D,'Modelling New'!$N:$N)</f>
        <v>130</v>
      </c>
      <c r="AS90" s="223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18">
        <f>Table13[[#This Row],[Date]]-DAY(Table13[[#This Row],[Date]])+1</f>
        <v>45809</v>
      </c>
      <c r="E91" s="9">
        <f t="shared" si="5"/>
        <v>30</v>
      </c>
      <c r="F91" s="188">
        <f>IFERROR(_xlfn.XLOOKUP($A91,Input_Raw!$A:$A,Input_Raw!$FC:$FC),"")</f>
        <v>12.016666666666669</v>
      </c>
      <c r="G91" s="178">
        <f>IFERROR(_xlfn.XLOOKUP($A91,Input_Raw!$A:$A,Input_Raw!$CY:$CY),"")</f>
        <v>1.3215909416666682</v>
      </c>
      <c r="H91" s="178">
        <f>IFERROR(_xlfn.XLOOKUP($A91,Input_Raw!$A:$A,Input_Raw!$DA:$DA),"")</f>
        <v>0.20202194166666657</v>
      </c>
      <c r="I91" s="178">
        <f>IFERROR(_xlfn.XLOOKUP($A91,Input_Raw!$A:$A,Input_Raw!$CX:$CX),"")</f>
        <v>1.523932058333334</v>
      </c>
      <c r="J91" s="178">
        <f>IFERROR(_xlfn.XLOOKUP($A91,Input_Raw!$A:$A,Input_Raw!$CZ:$CZ),"")</f>
        <v>0.21145041666666675</v>
      </c>
      <c r="K91" s="190">
        <f>IFERROR(_xlfn.XLOOKUP($A91,Input_Raw!$A:$A,Input_Raw!$DB:$DB),"")</f>
        <v>25.633494176372743</v>
      </c>
      <c r="L91" s="190">
        <f>IFERROR(_xlfn.XLOOKUP($A91,Input_Raw!$A:$A,Input_Raw!$DC:$DC),"")</f>
        <v>31.268658485856918</v>
      </c>
      <c r="M91" s="189">
        <f>IFERROR(_xlfn.XLOOKUP($A91,Input_Raw!$A:$A,Input_Raw!$DF:$DF),"")</f>
        <v>1.0770923460898514</v>
      </c>
      <c r="N91" s="189">
        <f>IFERROR(_xlfn.XLOOKUP($A91,Input_Raw!$A:$A,Input_Raw!$DG:$DG),"")</f>
        <v>3.0179999999999998</v>
      </c>
      <c r="O91" s="219">
        <f>IFERROR(1-(SUMIF(Plant_BD!$B:$B,$A91,Plant_BD!$AL:$AL)/($AA91+SUMIF(Plant_BD!$B:$B,$A91,Plant_BD!$AL:$AL))),"")</f>
        <v>0.99421229558024926</v>
      </c>
      <c r="P91" s="219"/>
      <c r="Q91" s="220">
        <f>IFERROR(1-(SUMIF(Grid_BD!$B:$B,$A91,Grid_BD!$V:$V)/($AA91+SUMIF(Grid_BD!$B:$B,$A91,Grid_BD!$V:$V))),"")</f>
        <v>1</v>
      </c>
      <c r="R91" s="219">
        <f>IFERROR(1-(SUMIF(Grid_BD!$B:$B,$A91,Grid_BD!$V:$V)/($AA91+SUMIF(Grid_BD!$B:$B,$A91,Grid_BD!$V:$V))),"")</f>
        <v>1</v>
      </c>
      <c r="S91" s="9"/>
      <c r="T91" s="220"/>
      <c r="U91" s="221">
        <f t="shared" si="6"/>
        <v>0.78968115472915401</v>
      </c>
      <c r="V91" s="221" t="str">
        <f>IFERROR(_xlfn.XLOOKUP($A91,Input_Raw!$A:$A,Input_Raw!$FG:$FG),"")</f>
        <v/>
      </c>
      <c r="W91" s="222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78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22">
        <f>IFERROR(_xlfn.XLOOKUP($D91,'Modelling New'!$D:$D,'Modelling New'!O:O),"")</f>
        <v>0.84205181214283342</v>
      </c>
      <c r="AF91" s="222">
        <f>IFERROR(_xlfn.XLOOKUP($D91,'Modelling New'!$D:$D,'Modelling New'!W:W),"")</f>
        <v>0.17437489609791174</v>
      </c>
      <c r="AG91" s="222">
        <f>IFERROR(_xlfn.XLOOKUP($D91,'Modelling New'!$D:$D,'Modelling New'!AE:AE),"")</f>
        <v>0.995</v>
      </c>
      <c r="AH91" s="222">
        <f>IFERROR(_xlfn.XLOOKUP($D91,'Modelling New'!$D:$D,'Modelling New'!AF:AF),"")</f>
        <v>0.995</v>
      </c>
      <c r="AI91" s="9"/>
      <c r="AJ91" s="9"/>
      <c r="AK91" s="245"/>
      <c r="AL91" s="245"/>
      <c r="AM91" s="245"/>
      <c r="AN91" s="219"/>
      <c r="AO91" s="222"/>
      <c r="AP91" s="222"/>
      <c r="AQ91" s="222"/>
      <c r="AR91" s="223">
        <f>_xlfn.XLOOKUP(D91,'Modelling New'!$D:$D,'Modelling New'!$N:$N)</f>
        <v>130</v>
      </c>
      <c r="AS91" s="223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18">
        <f>Table13[[#This Row],[Date]]-DAY(Table13[[#This Row],[Date]])+1</f>
        <v>45809</v>
      </c>
      <c r="E92" s="9">
        <f t="shared" si="5"/>
        <v>30</v>
      </c>
      <c r="F92" s="188">
        <f>IFERROR(_xlfn.XLOOKUP($A92,Input_Raw!$A:$A,Input_Raw!$FC:$FC),"")</f>
        <v>12.250000000000002</v>
      </c>
      <c r="G92" s="189">
        <f>IFERROR(_xlfn.XLOOKUP($A92,Input_Raw!$A:$A,Input_Raw!$CY:$CY),"")</f>
        <v>4.4129311916666634</v>
      </c>
      <c r="H92" s="189">
        <f>IFERROR(_xlfn.XLOOKUP($A92,Input_Raw!$A:$A,Input_Raw!$DA:$DA),"")</f>
        <v>0.69915386666666701</v>
      </c>
      <c r="I92" s="189">
        <f>IFERROR(_xlfn.XLOOKUP($A92,Input_Raw!$A:$A,Input_Raw!$CX:$CX),"")</f>
        <v>4.8449696416666681</v>
      </c>
      <c r="J92" s="189">
        <f>IFERROR(_xlfn.XLOOKUP($A92,Input_Raw!$A:$A,Input_Raw!$CZ:$CZ),"")</f>
        <v>0.56129007500000028</v>
      </c>
      <c r="K92" s="190">
        <f>IFERROR(_xlfn.XLOOKUP($A92,Input_Raw!$A:$A,Input_Raw!$DB:$DB),"")</f>
        <v>27.773941908713745</v>
      </c>
      <c r="L92" s="190">
        <f>IFERROR(_xlfn.XLOOKUP($A92,Input_Raw!$A:$A,Input_Raw!$DC:$DC),"")</f>
        <v>39.212102074688787</v>
      </c>
      <c r="M92" s="189">
        <f>IFERROR(_xlfn.XLOOKUP($A92,Input_Raw!$A:$A,Input_Raw!$DF:$DF),"")</f>
        <v>1.2008576763485475</v>
      </c>
      <c r="N92" s="189">
        <f>IFERROR(_xlfn.XLOOKUP($A92,Input_Raw!$A:$A,Input_Raw!$DG:$DG),"")</f>
        <v>3.2265000000000001</v>
      </c>
      <c r="O92" s="219">
        <f>IFERROR(1-(SUMIF(Plant_BD!$B:$B,$A92,Plant_BD!$AL:$AL)/($AA92+SUMIF(Plant_BD!$B:$B,$A92,Plant_BD!$AL:$AL))),"")</f>
        <v>0.98213200454360339</v>
      </c>
      <c r="P92" s="219"/>
      <c r="Q92" s="220">
        <f>IFERROR(1-(SUMIF(Grid_BD!$B:$B,$A92,Grid_BD!$V:$V)/($AA92+SUMIF(Grid_BD!$B:$B,$A92,Grid_BD!$V:$V))),"")</f>
        <v>1</v>
      </c>
      <c r="R92" s="219">
        <f>IFERROR(1-(SUMIF(Grid_BD!$B:$B,$A92,Grid_BD!$V:$V)/($AA92+SUMIF(Grid_BD!$B:$B,$A92,Grid_BD!$V:$V))),"")</f>
        <v>1</v>
      </c>
      <c r="S92" s="9"/>
      <c r="T92" s="220"/>
      <c r="U92" s="221">
        <f t="shared" si="6"/>
        <v>0.79128033810201204</v>
      </c>
      <c r="V92" s="221" t="str">
        <f>IFERROR(_xlfn.XLOOKUP($A92,Input_Raw!$A:$A,Input_Raw!$FG:$FG),"")</f>
        <v/>
      </c>
      <c r="W92" s="222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78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22">
        <f>IFERROR(_xlfn.XLOOKUP($D92,'Modelling New'!$D:$D,'Modelling New'!O:O),"")</f>
        <v>0.84205181214283342</v>
      </c>
      <c r="AF92" s="222">
        <f>IFERROR(_xlfn.XLOOKUP($D92,'Modelling New'!$D:$D,'Modelling New'!W:W),"")</f>
        <v>0.17437489609791174</v>
      </c>
      <c r="AG92" s="222">
        <f>IFERROR(_xlfn.XLOOKUP($D92,'Modelling New'!$D:$D,'Modelling New'!AE:AE),"")</f>
        <v>0.995</v>
      </c>
      <c r="AH92" s="222">
        <f>IFERROR(_xlfn.XLOOKUP($D92,'Modelling New'!$D:$D,'Modelling New'!AF:AF),"")</f>
        <v>0.995</v>
      </c>
      <c r="AI92" s="9"/>
      <c r="AJ92" s="9"/>
      <c r="AK92" s="245"/>
      <c r="AL92" s="245"/>
      <c r="AM92" s="245"/>
      <c r="AN92" s="219"/>
      <c r="AO92" s="222"/>
      <c r="AP92" s="222"/>
      <c r="AQ92" s="222"/>
      <c r="AR92" s="223">
        <f>_xlfn.XLOOKUP(D92,'Modelling New'!$D:$D,'Modelling New'!$N:$N)</f>
        <v>130</v>
      </c>
      <c r="AS92" s="223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18">
        <f>Table13[[#This Row],[Date]]-DAY(Table13[[#This Row],[Date]])+1</f>
        <v>45809</v>
      </c>
      <c r="E93" s="9">
        <f t="shared" si="5"/>
        <v>30</v>
      </c>
      <c r="F93" s="188">
        <f>IFERROR(_xlfn.XLOOKUP($A93,Input_Raw!$A:$A,Input_Raw!$FC:$FC),"")</f>
        <v>11.816666666666666</v>
      </c>
      <c r="G93" s="178">
        <f>IFERROR(_xlfn.XLOOKUP($A93,Input_Raw!$A:$A,Input_Raw!$CY:$CY),"")</f>
        <v>4.0970428583333351</v>
      </c>
      <c r="H93" s="178">
        <f>IFERROR(_xlfn.XLOOKUP($A93,Input_Raw!$A:$A,Input_Raw!$DA:$DA),"")</f>
        <v>0.65818322499999993</v>
      </c>
      <c r="I93" s="178">
        <f>IFERROR(_xlfn.XLOOKUP($A93,Input_Raw!$A:$A,Input_Raw!$CX:$CX),"")</f>
        <v>4.474961733333334</v>
      </c>
      <c r="J93" s="178">
        <f>IFERROR(_xlfn.XLOOKUP($A93,Input_Raw!$A:$A,Input_Raw!$CZ:$CZ),"")</f>
        <v>0.53022984166666687</v>
      </c>
      <c r="K93" s="190">
        <f>IFERROR(_xlfn.XLOOKUP($A93,Input_Raw!$A:$A,Input_Raw!$DB:$DB),"")</f>
        <v>27.736017887563875</v>
      </c>
      <c r="L93" s="190">
        <f>IFERROR(_xlfn.XLOOKUP($A93,Input_Raw!$A:$A,Input_Raw!$DC:$DC),"")</f>
        <v>37.930468483815993</v>
      </c>
      <c r="M93" s="189">
        <f>IFERROR(_xlfn.XLOOKUP($A93,Input_Raw!$A:$A,Input_Raw!$DF:$DF),"")</f>
        <v>1.3514936115843277</v>
      </c>
      <c r="N93" s="189">
        <f>IFERROR(_xlfn.XLOOKUP($A93,Input_Raw!$A:$A,Input_Raw!$DG:$DG),"")</f>
        <v>3.4140000000000001</v>
      </c>
      <c r="O93" s="219">
        <f>IFERROR(1-(SUMIF(Plant_BD!$B:$B,$A93,Plant_BD!$AL:$AL)/($AA93+SUMIF(Plant_BD!$B:$B,$A93,Plant_BD!$AL:$AL))),"")</f>
        <v>1</v>
      </c>
      <c r="P93" s="219"/>
      <c r="Q93" s="220">
        <f>IFERROR(1-(SUMIF(Grid_BD!$B:$B,$A93,Grid_BD!$V:$V)/($AA93+SUMIF(Grid_BD!$B:$B,$A93,Grid_BD!$V:$V))),"")</f>
        <v>1</v>
      </c>
      <c r="R93" s="219">
        <f>IFERROR(1-(SUMIF(Grid_BD!$B:$B,$A93,Grid_BD!$V:$V)/($AA93+SUMIF(Grid_BD!$B:$B,$A93,Grid_BD!$V:$V))),"")</f>
        <v>1</v>
      </c>
      <c r="S93" s="9"/>
      <c r="T93" s="220"/>
      <c r="U93" s="221">
        <f t="shared" si="6"/>
        <v>0.79887093513653484</v>
      </c>
      <c r="V93" s="221" t="str">
        <f>IFERROR(_xlfn.XLOOKUP($A93,Input_Raw!$A:$A,Input_Raw!$FG:$FG),"")</f>
        <v/>
      </c>
      <c r="W93" s="222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78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22">
        <f>IFERROR(_xlfn.XLOOKUP($D93,'Modelling New'!$D:$D,'Modelling New'!O:O),"")</f>
        <v>0.84205181214283342</v>
      </c>
      <c r="AF93" s="222">
        <f>IFERROR(_xlfn.XLOOKUP($D93,'Modelling New'!$D:$D,'Modelling New'!W:W),"")</f>
        <v>0.17437489609791174</v>
      </c>
      <c r="AG93" s="222">
        <f>IFERROR(_xlfn.XLOOKUP($D93,'Modelling New'!$D:$D,'Modelling New'!AE:AE),"")</f>
        <v>0.995</v>
      </c>
      <c r="AH93" s="222">
        <f>IFERROR(_xlfn.XLOOKUP($D93,'Modelling New'!$D:$D,'Modelling New'!AF:AF),"")</f>
        <v>0.995</v>
      </c>
      <c r="AI93" s="9"/>
      <c r="AJ93" s="9"/>
      <c r="AK93" s="245"/>
      <c r="AL93" s="245"/>
      <c r="AM93" s="245"/>
      <c r="AN93" s="219"/>
      <c r="AO93" s="222"/>
      <c r="AP93" s="222"/>
      <c r="AQ93" s="222"/>
      <c r="AR93" s="223">
        <f>_xlfn.XLOOKUP(D93,'Modelling New'!$D:$D,'Modelling New'!$N:$N)</f>
        <v>130</v>
      </c>
      <c r="AS93" s="223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18">
        <f>Table13[[#This Row],[Date]]-DAY(Table13[[#This Row],[Date]])+1</f>
        <v>45809</v>
      </c>
      <c r="E94" s="9">
        <f t="shared" si="5"/>
        <v>30</v>
      </c>
      <c r="F94" s="188">
        <f>IFERROR(_xlfn.XLOOKUP($A94,Input_Raw!$A:$A,Input_Raw!$FC:$FC),"")</f>
        <v>11.966666666666665</v>
      </c>
      <c r="G94" s="189">
        <f>IFERROR(_xlfn.XLOOKUP($A94,Input_Raw!$A:$A,Input_Raw!$CY:$CY),"")</f>
        <v>2.4143487249999982</v>
      </c>
      <c r="H94" s="189">
        <f>IFERROR(_xlfn.XLOOKUP($A94,Input_Raw!$A:$A,Input_Raw!$DA:$DA),"")</f>
        <v>0.39063078333333362</v>
      </c>
      <c r="I94" s="189">
        <f>IFERROR(_xlfn.XLOOKUP($A94,Input_Raw!$A:$A,Input_Raw!$CX:$CX),"")</f>
        <v>2.6656535333333329</v>
      </c>
      <c r="J94" s="189">
        <f>IFERROR(_xlfn.XLOOKUP($A94,Input_Raw!$A:$A,Input_Raw!$CZ:$CZ),"")</f>
        <v>0.32432796666666686</v>
      </c>
      <c r="K94" s="190">
        <f>IFERROR(_xlfn.XLOOKUP($A94,Input_Raw!$A:$A,Input_Raw!$DB:$DB),"")</f>
        <v>26.209474548440113</v>
      </c>
      <c r="L94" s="190">
        <f>IFERROR(_xlfn.XLOOKUP($A94,Input_Raw!$A:$A,Input_Raw!$DC:$DC),"")</f>
        <v>33.751943349753681</v>
      </c>
      <c r="M94" s="189">
        <f>IFERROR(_xlfn.XLOOKUP($A94,Input_Raw!$A:$A,Input_Raw!$DF:$DF),"")</f>
        <v>1.6407216748768469</v>
      </c>
      <c r="N94" s="189">
        <f>IFERROR(_xlfn.XLOOKUP($A94,Input_Raw!$A:$A,Input_Raw!$DG:$DG),"")</f>
        <v>4.9094999999999995</v>
      </c>
      <c r="O94" s="219">
        <f>IFERROR(1-(SUMIF(Plant_BD!$B:$B,$A94,Plant_BD!$AL:$AL)/($AA94+SUMIF(Plant_BD!$B:$B,$A94,Plant_BD!$AL:$AL))),"")</f>
        <v>0.99896765305749324</v>
      </c>
      <c r="P94" s="219"/>
      <c r="Q94" s="220">
        <f>IFERROR(1-(SUMIF(Grid_BD!$B:$B,$A94,Grid_BD!$V:$V)/($AA94+SUMIF(Grid_BD!$B:$B,$A94,Grid_BD!$V:$V))),"")</f>
        <v>1</v>
      </c>
      <c r="R94" s="219">
        <f>IFERROR(1-(SUMIF(Grid_BD!$B:$B,$A94,Grid_BD!$V:$V)/($AA94+SUMIF(Grid_BD!$B:$B,$A94,Grid_BD!$V:$V))),"")</f>
        <v>1</v>
      </c>
      <c r="S94" s="9"/>
      <c r="T94" s="220"/>
      <c r="U94" s="221">
        <f t="shared" si="6"/>
        <v>0.82741649397867134</v>
      </c>
      <c r="V94" s="221" t="str">
        <f>IFERROR(_xlfn.XLOOKUP($A94,Input_Raw!$A:$A,Input_Raw!$FG:$FG),"")</f>
        <v/>
      </c>
      <c r="W94" s="222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78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22">
        <f>IFERROR(_xlfn.XLOOKUP($D94,'Modelling New'!$D:$D,'Modelling New'!O:O),"")</f>
        <v>0.84205181214283342</v>
      </c>
      <c r="AF94" s="222">
        <f>IFERROR(_xlfn.XLOOKUP($D94,'Modelling New'!$D:$D,'Modelling New'!W:W),"")</f>
        <v>0.17437489609791174</v>
      </c>
      <c r="AG94" s="222">
        <f>IFERROR(_xlfn.XLOOKUP($D94,'Modelling New'!$D:$D,'Modelling New'!AE:AE),"")</f>
        <v>0.995</v>
      </c>
      <c r="AH94" s="222">
        <f>IFERROR(_xlfn.XLOOKUP($D94,'Modelling New'!$D:$D,'Modelling New'!AF:AF),"")</f>
        <v>0.995</v>
      </c>
      <c r="AI94" s="9"/>
      <c r="AJ94" s="9"/>
      <c r="AK94" s="245"/>
      <c r="AL94" s="245"/>
      <c r="AM94" s="245"/>
      <c r="AN94" s="219"/>
      <c r="AO94" s="222"/>
      <c r="AP94" s="222"/>
      <c r="AQ94" s="222"/>
      <c r="AR94" s="223">
        <f>_xlfn.XLOOKUP(D94,'Modelling New'!$D:$D,'Modelling New'!$N:$N)</f>
        <v>130</v>
      </c>
      <c r="AS94" s="223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18">
        <f>Table13[[#This Row],[Date]]-DAY(Table13[[#This Row],[Date]])+1</f>
        <v>45809</v>
      </c>
      <c r="E95" s="9">
        <f t="shared" si="5"/>
        <v>30</v>
      </c>
      <c r="F95" s="188">
        <f>IFERROR(_xlfn.XLOOKUP($A95,Input_Raw!$A:$A,Input_Raw!$FC:$FC),"")</f>
        <v>12.316666666666668</v>
      </c>
      <c r="G95" s="178">
        <f>IFERROR(_xlfn.XLOOKUP($A95,Input_Raw!$A:$A,Input_Raw!$CY:$CY),"")</f>
        <v>2.6150213999999998</v>
      </c>
      <c r="H95" s="178">
        <f>IFERROR(_xlfn.XLOOKUP($A95,Input_Raw!$A:$A,Input_Raw!$DA:$DA),"")</f>
        <v>0.4316866749999998</v>
      </c>
      <c r="I95" s="178">
        <f>IFERROR(_xlfn.XLOOKUP($A95,Input_Raw!$A:$A,Input_Raw!$CX:$CX),"")</f>
        <v>2.9607828000000005</v>
      </c>
      <c r="J95" s="178">
        <f>IFERROR(_xlfn.XLOOKUP($A95,Input_Raw!$A:$A,Input_Raw!$CZ:$CZ),"")</f>
        <v>0.34034194999999989</v>
      </c>
      <c r="K95" s="190">
        <f>IFERROR(_xlfn.XLOOKUP($A95,Input_Raw!$A:$A,Input_Raw!$DB:$DB),"")</f>
        <v>27.048284789643983</v>
      </c>
      <c r="L95" s="190">
        <f>IFERROR(_xlfn.XLOOKUP($A95,Input_Raw!$A:$A,Input_Raw!$DC:$DC),"")</f>
        <v>35.160705097087373</v>
      </c>
      <c r="M95" s="189">
        <f>IFERROR(_xlfn.XLOOKUP($A95,Input_Raw!$A:$A,Input_Raw!$DF:$DF),"")</f>
        <v>1.2229235436893213</v>
      </c>
      <c r="N95" s="189">
        <f>IFERROR(_xlfn.XLOOKUP($A95,Input_Raw!$A:$A,Input_Raw!$DG:$DG),"")</f>
        <v>3.3585000000000003</v>
      </c>
      <c r="O95" s="219">
        <f>IFERROR(1-(SUMIF(Plant_BD!$B:$B,$A95,Plant_BD!$AL:$AL)/($AA95+SUMIF(Plant_BD!$B:$B,$A95,Plant_BD!$AL:$AL))),"")</f>
        <v>0.99881864941027798</v>
      </c>
      <c r="P95" s="219"/>
      <c r="Q95" s="220">
        <f>IFERROR(1-(SUMIF(Grid_BD!$B:$B,$A95,Grid_BD!$V:$V)/($AA95+SUMIF(Grid_BD!$B:$B,$A95,Grid_BD!$V:$V))),"")</f>
        <v>1</v>
      </c>
      <c r="R95" s="219">
        <f>IFERROR(1-(SUMIF(Grid_BD!$B:$B,$A95,Grid_BD!$V:$V)/($AA95+SUMIF(Grid_BD!$B:$B,$A95,Grid_BD!$V:$V))),"")</f>
        <v>1</v>
      </c>
      <c r="S95" s="9"/>
      <c r="T95" s="220"/>
      <c r="U95" s="221">
        <f t="shared" si="6"/>
        <v>0.84318991117269126</v>
      </c>
      <c r="V95" s="221" t="str">
        <f>IFERROR(_xlfn.XLOOKUP($A95,Input_Raw!$A:$A,Input_Raw!$FG:$FG),"")</f>
        <v/>
      </c>
      <c r="W95" s="222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78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22">
        <f>IFERROR(_xlfn.XLOOKUP($D95,'Modelling New'!$D:$D,'Modelling New'!O:O),"")</f>
        <v>0.84205181214283342</v>
      </c>
      <c r="AF95" s="222">
        <f>IFERROR(_xlfn.XLOOKUP($D95,'Modelling New'!$D:$D,'Modelling New'!W:W),"")</f>
        <v>0.17437489609791174</v>
      </c>
      <c r="AG95" s="222">
        <f>IFERROR(_xlfn.XLOOKUP($D95,'Modelling New'!$D:$D,'Modelling New'!AE:AE),"")</f>
        <v>0.995</v>
      </c>
      <c r="AH95" s="222">
        <f>IFERROR(_xlfn.XLOOKUP($D95,'Modelling New'!$D:$D,'Modelling New'!AF:AF),"")</f>
        <v>0.995</v>
      </c>
      <c r="AI95" s="9"/>
      <c r="AJ95" s="9"/>
      <c r="AK95" s="245"/>
      <c r="AL95" s="245"/>
      <c r="AM95" s="245"/>
      <c r="AN95" s="219"/>
      <c r="AO95" s="222"/>
      <c r="AP95" s="222"/>
      <c r="AQ95" s="222"/>
      <c r="AR95" s="223">
        <f>_xlfn.XLOOKUP(D95,'Modelling New'!$D:$D,'Modelling New'!$N:$N)</f>
        <v>130</v>
      </c>
      <c r="AS95" s="223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18">
        <f>Table13[[#This Row],[Date]]-DAY(Table13[[#This Row],[Date]])+1</f>
        <v>45839</v>
      </c>
      <c r="E96" s="9">
        <f t="shared" si="5"/>
        <v>31</v>
      </c>
      <c r="F96" s="188">
        <f>IFERROR(_xlfn.XLOOKUP($A96,Input_Raw!$A:$A,Input_Raw!$FC:$FC),"")</f>
        <v>12.283333333333335</v>
      </c>
      <c r="G96" s="189">
        <f>IFERROR(_xlfn.XLOOKUP($A96,Input_Raw!$A:$A,Input_Raw!$CY:$CY),"")</f>
        <v>3.1193243583333343</v>
      </c>
      <c r="H96" s="189">
        <f>IFERROR(_xlfn.XLOOKUP($A96,Input_Raw!$A:$A,Input_Raw!$DA:$DA),"")</f>
        <v>0.52606198333333332</v>
      </c>
      <c r="I96" s="189">
        <f>IFERROR(_xlfn.XLOOKUP($A96,Input_Raw!$A:$A,Input_Raw!$CX:$CX),"")</f>
        <v>3.5154207000000017</v>
      </c>
      <c r="J96" s="189">
        <f>IFERROR(_xlfn.XLOOKUP($A96,Input_Raw!$A:$A,Input_Raw!$CZ:$CZ),"")</f>
        <v>0.43490849166666712</v>
      </c>
      <c r="K96" s="190">
        <f>IFERROR(_xlfn.XLOOKUP($A96,Input_Raw!$A:$A,Input_Raw!$DB:$DB),"")</f>
        <v>27.060658119658076</v>
      </c>
      <c r="L96" s="190">
        <f>IFERROR(_xlfn.XLOOKUP($A96,Input_Raw!$A:$A,Input_Raw!$DC:$DC),"")</f>
        <v>36.056305555555568</v>
      </c>
      <c r="M96" s="189">
        <f>IFERROR(_xlfn.XLOOKUP($A96,Input_Raw!$A:$A,Input_Raw!$DF:$DF),"")</f>
        <v>1.7951961538461534</v>
      </c>
      <c r="N96" s="189">
        <f>IFERROR(_xlfn.XLOOKUP($A96,Input_Raw!$A:$A,Input_Raw!$DG:$DG),"")</f>
        <v>4.5914999999999999</v>
      </c>
      <c r="O96" s="219">
        <f>IFERROR(1-(SUMIF(Plant_BD!$B:$B,$A96,Plant_BD!$AL:$AL)/($AA96+SUMIF(Plant_BD!$B:$B,$A96,Plant_BD!$AL:$AL))),"")</f>
        <v>0.99915336201206062</v>
      </c>
      <c r="P96" s="219"/>
      <c r="Q96" s="220">
        <f>IFERROR(1-(SUMIF(Grid_BD!$B:$B,$A96,Grid_BD!$V:$V)/($AA96+SUMIF(Grid_BD!$B:$B,$A96,Grid_BD!$V:$V))),"")</f>
        <v>1</v>
      </c>
      <c r="R96" s="219">
        <f>IFERROR(1-(SUMIF(Grid_BD!$B:$B,$A96,Grid_BD!$V:$V)/($AA96+SUMIF(Grid_BD!$B:$B,$A96,Grid_BD!$V:$V))),"")</f>
        <v>1</v>
      </c>
      <c r="S96" s="9"/>
      <c r="T96" s="220"/>
      <c r="U96" s="221">
        <f t="shared" si="6"/>
        <v>0.82161426657268111</v>
      </c>
      <c r="V96" s="221" t="str">
        <f>IFERROR(_xlfn.XLOOKUP($A96,Input_Raw!$A:$A,Input_Raw!$FG:$FG),"")</f>
        <v/>
      </c>
      <c r="W96" s="222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78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22">
        <f>IFERROR(_xlfn.XLOOKUP($D96,'Modelling New'!$D:$D,'Modelling New'!O:O),"")</f>
        <v>0.85307603301688106</v>
      </c>
      <c r="AF96" s="222">
        <f>IFERROR(_xlfn.XLOOKUP($D96,'Modelling New'!$D:$D,'Modelling New'!W:W),"")</f>
        <v>0.13495571113721361</v>
      </c>
      <c r="AG96" s="222">
        <f>IFERROR(_xlfn.XLOOKUP($D96,'Modelling New'!$D:$D,'Modelling New'!AE:AE),"")</f>
        <v>0.995</v>
      </c>
      <c r="AH96" s="222">
        <f>IFERROR(_xlfn.XLOOKUP($D96,'Modelling New'!$D:$D,'Modelling New'!AF:AF),"")</f>
        <v>0.995</v>
      </c>
      <c r="AI96" s="9"/>
      <c r="AJ96" s="9"/>
      <c r="AK96" s="245"/>
      <c r="AL96" s="245"/>
      <c r="AM96" s="245"/>
      <c r="AN96" s="219"/>
      <c r="AO96" s="222"/>
      <c r="AP96" s="222"/>
      <c r="AQ96" s="222"/>
      <c r="AR96" s="223">
        <f>_xlfn.XLOOKUP(D96,'Modelling New'!$D:$D,'Modelling New'!$N:$N)</f>
        <v>130</v>
      </c>
      <c r="AS96" s="223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18">
        <f>Table13[[#This Row],[Date]]-DAY(Table13[[#This Row],[Date]])+1</f>
        <v>45839</v>
      </c>
      <c r="E97" s="9">
        <f t="shared" si="5"/>
        <v>31</v>
      </c>
      <c r="F97" s="188">
        <f>IFERROR(_xlfn.XLOOKUP($A97,Input_Raw!$A:$A,Input_Raw!$FC:$FC),"")</f>
        <v>12.783333333333333</v>
      </c>
      <c r="G97" s="178">
        <f>IFERROR(_xlfn.XLOOKUP($A97,Input_Raw!$A:$A,Input_Raw!$CY:$CY),"")</f>
        <v>3.7960181000000031</v>
      </c>
      <c r="H97" s="178">
        <f>IFERROR(_xlfn.XLOOKUP($A97,Input_Raw!$A:$A,Input_Raw!$DA:$DA),"")</f>
        <v>0.6431384499999997</v>
      </c>
      <c r="I97" s="178">
        <f>IFERROR(_xlfn.XLOOKUP($A97,Input_Raw!$A:$A,Input_Raw!$CX:$CX),"")</f>
        <v>4.2059945499999989</v>
      </c>
      <c r="J97" s="178">
        <f>IFERROR(_xlfn.XLOOKUP($A97,Input_Raw!$A:$A,Input_Raw!$CZ:$CZ),"")</f>
        <v>0.54071272500000034</v>
      </c>
      <c r="K97" s="190">
        <f>IFERROR(_xlfn.XLOOKUP($A97,Input_Raw!$A:$A,Input_Raw!$DB:$DB),"")</f>
        <v>26.990165289256254</v>
      </c>
      <c r="L97" s="190">
        <f>IFERROR(_xlfn.XLOOKUP($A97,Input_Raw!$A:$A,Input_Raw!$DC:$DC),"")</f>
        <v>36.25646735537191</v>
      </c>
      <c r="M97" s="189">
        <f>IFERROR(_xlfn.XLOOKUP($A97,Input_Raw!$A:$A,Input_Raw!$DF:$DF),"")</f>
        <v>1.6883119834710767</v>
      </c>
      <c r="N97" s="189">
        <f>IFERROR(_xlfn.XLOOKUP($A97,Input_Raw!$A:$A,Input_Raw!$DG:$DG),"")</f>
        <v>3.8325</v>
      </c>
      <c r="O97" s="219">
        <f>IFERROR(1-(SUMIF(Plant_BD!$B:$B,$A97,Plant_BD!$AL:$AL)/($AA97+SUMIF(Plant_BD!$B:$B,$A97,Plant_BD!$AL:$AL))),"")</f>
        <v>0.97922826427386622</v>
      </c>
      <c r="P97" s="219"/>
      <c r="Q97" s="220">
        <f>IFERROR(1-(SUMIF(Grid_BD!$B:$B,$A97,Grid_BD!$V:$V)/($AA97+SUMIF(Grid_BD!$B:$B,$A97,Grid_BD!$V:$V))),"")</f>
        <v>1</v>
      </c>
      <c r="R97" s="219">
        <f>IFERROR(1-(SUMIF(Grid_BD!$B:$B,$A97,Grid_BD!$V:$V)/($AA97+SUMIF(Grid_BD!$B:$B,$A97,Grid_BD!$V:$V))),"")</f>
        <v>1</v>
      </c>
      <c r="S97" s="9"/>
      <c r="T97" s="220"/>
      <c r="U97" s="221">
        <f t="shared" si="6"/>
        <v>0.80807303489304849</v>
      </c>
      <c r="V97" s="221" t="str">
        <f>IFERROR(_xlfn.XLOOKUP($A97,Input_Raw!$A:$A,Input_Raw!$FG:$FG),"")</f>
        <v/>
      </c>
      <c r="W97" s="222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78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22">
        <f>IFERROR(_xlfn.XLOOKUP($D97,'Modelling New'!$D:$D,'Modelling New'!O:O),"")</f>
        <v>0.85307603301688106</v>
      </c>
      <c r="AF97" s="222">
        <f>IFERROR(_xlfn.XLOOKUP($D97,'Modelling New'!$D:$D,'Modelling New'!W:W),"")</f>
        <v>0.13495571113721361</v>
      </c>
      <c r="AG97" s="222">
        <f>IFERROR(_xlfn.XLOOKUP($D97,'Modelling New'!$D:$D,'Modelling New'!AE:AE),"")</f>
        <v>0.995</v>
      </c>
      <c r="AH97" s="222">
        <f>IFERROR(_xlfn.XLOOKUP($D97,'Modelling New'!$D:$D,'Modelling New'!AF:AF),"")</f>
        <v>0.995</v>
      </c>
      <c r="AI97" s="9"/>
      <c r="AJ97" s="9"/>
      <c r="AK97" s="245"/>
      <c r="AL97" s="245"/>
      <c r="AM97" s="245"/>
      <c r="AN97" s="219"/>
      <c r="AO97" s="222"/>
      <c r="AP97" s="222"/>
      <c r="AQ97" s="222"/>
      <c r="AR97" s="223">
        <f>_xlfn.XLOOKUP(D97,'Modelling New'!$D:$D,'Modelling New'!$N:$N)</f>
        <v>130</v>
      </c>
      <c r="AS97" s="223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18">
        <f>Table13[[#This Row],[Date]]-DAY(Table13[[#This Row],[Date]])+1</f>
        <v>45839</v>
      </c>
      <c r="E98" s="9">
        <f t="shared" si="5"/>
        <v>31</v>
      </c>
      <c r="F98" s="188">
        <f>IFERROR(_xlfn.XLOOKUP($A98,Input_Raw!$A:$A,Input_Raw!$FC:$FC),"")</f>
        <v>12.583333333333334</v>
      </c>
      <c r="G98" s="189">
        <f>IFERROR(_xlfn.XLOOKUP($A98,Input_Raw!$A:$A,Input_Raw!$CY:$CY),"")</f>
        <v>3.7906119833333296</v>
      </c>
      <c r="H98" s="189">
        <f>IFERROR(_xlfn.XLOOKUP($A98,Input_Raw!$A:$A,Input_Raw!$DA:$DA),"")</f>
        <v>0.63615229999999923</v>
      </c>
      <c r="I98" s="189">
        <f>IFERROR(_xlfn.XLOOKUP($A98,Input_Raw!$A:$A,Input_Raw!$CX:$CX),"")</f>
        <v>4.2447765666666673</v>
      </c>
      <c r="J98" s="189">
        <f>IFERROR(_xlfn.XLOOKUP($A98,Input_Raw!$A:$A,Input_Raw!$CZ:$CZ),"")</f>
        <v>0.51341474999999992</v>
      </c>
      <c r="K98" s="190">
        <f>IFERROR(_xlfn.XLOOKUP($A98,Input_Raw!$A:$A,Input_Raw!$DB:$DB),"")</f>
        <v>26.974564102564116</v>
      </c>
      <c r="L98" s="190">
        <f>IFERROR(_xlfn.XLOOKUP($A98,Input_Raw!$A:$A,Input_Raw!$DC:$DC),"")</f>
        <v>36.803923504273513</v>
      </c>
      <c r="M98" s="189">
        <f>IFERROR(_xlfn.XLOOKUP($A98,Input_Raw!$A:$A,Input_Raw!$DF:$DF),"")</f>
        <v>1.0505525641025635</v>
      </c>
      <c r="N98" s="189">
        <f>IFERROR(_xlfn.XLOOKUP($A98,Input_Raw!$A:$A,Input_Raw!$DG:$DG),"")</f>
        <v>3.3194999999999997</v>
      </c>
      <c r="O98" s="219">
        <f>IFERROR(1-(SUMIF(Plant_BD!$B:$B,$A98,Plant_BD!$AL:$AL)/($AA98+SUMIF(Plant_BD!$B:$B,$A98,Plant_BD!$AL:$AL))),"")</f>
        <v>1</v>
      </c>
      <c r="P98" s="219"/>
      <c r="Q98" s="220">
        <f>IFERROR(1-(SUMIF(Grid_BD!$B:$B,$A98,Grid_BD!$V:$V)/($AA98+SUMIF(Grid_BD!$B:$B,$A98,Grid_BD!$V:$V))),"")</f>
        <v>1</v>
      </c>
      <c r="R98" s="219">
        <f>IFERROR(1-(SUMIF(Grid_BD!$B:$B,$A98,Grid_BD!$V:$V)/($AA98+SUMIF(Grid_BD!$B:$B,$A98,Grid_BD!$V:$V))),"")</f>
        <v>1</v>
      </c>
      <c r="S98" s="9"/>
      <c r="T98" s="220"/>
      <c r="U98" s="221">
        <f t="shared" si="6"/>
        <v>0.83009028326847567</v>
      </c>
      <c r="V98" s="221" t="str">
        <f>IFERROR(_xlfn.XLOOKUP($A98,Input_Raw!$A:$A,Input_Raw!$FG:$FG),"")</f>
        <v/>
      </c>
      <c r="W98" s="222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78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22">
        <f>IFERROR(_xlfn.XLOOKUP($D98,'Modelling New'!$D:$D,'Modelling New'!O:O),"")</f>
        <v>0.85307603301688106</v>
      </c>
      <c r="AF98" s="222">
        <f>IFERROR(_xlfn.XLOOKUP($D98,'Modelling New'!$D:$D,'Modelling New'!W:W),"")</f>
        <v>0.13495571113721361</v>
      </c>
      <c r="AG98" s="222">
        <f>IFERROR(_xlfn.XLOOKUP($D98,'Modelling New'!$D:$D,'Modelling New'!AE:AE),"")</f>
        <v>0.995</v>
      </c>
      <c r="AH98" s="222">
        <f>IFERROR(_xlfn.XLOOKUP($D98,'Modelling New'!$D:$D,'Modelling New'!AF:AF),"")</f>
        <v>0.995</v>
      </c>
      <c r="AI98" s="9"/>
      <c r="AJ98" s="9"/>
      <c r="AK98" s="245"/>
      <c r="AL98" s="245"/>
      <c r="AM98" s="245"/>
      <c r="AN98" s="219"/>
      <c r="AO98" s="222"/>
      <c r="AP98" s="222"/>
      <c r="AQ98" s="222"/>
      <c r="AR98" s="223">
        <f>_xlfn.XLOOKUP(D98,'Modelling New'!$D:$D,'Modelling New'!$N:$N)</f>
        <v>130</v>
      </c>
      <c r="AS98" s="223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18">
        <f>Table13[[#This Row],[Date]]-DAY(Table13[[#This Row],[Date]])+1</f>
        <v>45839</v>
      </c>
      <c r="E99" s="9">
        <f t="shared" si="5"/>
        <v>31</v>
      </c>
      <c r="F99" s="188">
        <f>IFERROR(_xlfn.XLOOKUP($A99,Input_Raw!$A:$A,Input_Raw!$FC:$FC),"")</f>
        <v>12.366666666666667</v>
      </c>
      <c r="G99" s="178">
        <f>IFERROR(_xlfn.XLOOKUP($A99,Input_Raw!$A:$A,Input_Raw!$CY:$CY),"")</f>
        <v>2.9781919333333313</v>
      </c>
      <c r="H99" s="178">
        <f>IFERROR(_xlfn.XLOOKUP($A99,Input_Raw!$A:$A,Input_Raw!$DA:$DA),"")</f>
        <v>0.5063380916666671</v>
      </c>
      <c r="I99" s="178">
        <f>IFERROR(_xlfn.XLOOKUP($A99,Input_Raw!$A:$A,Input_Raw!$CX:$CX),"")</f>
        <v>3.3849986916666701</v>
      </c>
      <c r="J99" s="178">
        <f>IFERROR(_xlfn.XLOOKUP($A99,Input_Raw!$A:$A,Input_Raw!$CZ:$CZ),"")</f>
        <v>0.41029169166666679</v>
      </c>
      <c r="K99" s="190">
        <f>IFERROR(_xlfn.XLOOKUP($A99,Input_Raw!$A:$A,Input_Raw!$DB:$DB),"")</f>
        <v>27.022203315881331</v>
      </c>
      <c r="L99" s="190">
        <f>IFERROR(_xlfn.XLOOKUP($A99,Input_Raw!$A:$A,Input_Raw!$DC:$DC),"")</f>
        <v>36.257983856893546</v>
      </c>
      <c r="M99" s="189">
        <f>IFERROR(_xlfn.XLOOKUP($A99,Input_Raw!$A:$A,Input_Raw!$DF:$DF),"")</f>
        <v>1.2928298429319356</v>
      </c>
      <c r="N99" s="189">
        <f>IFERROR(_xlfn.XLOOKUP($A99,Input_Raw!$A:$A,Input_Raw!$DG:$DG),"")</f>
        <v>3.2309999999999999</v>
      </c>
      <c r="O99" s="219">
        <f>IFERROR(1-(SUMIF(Plant_BD!$B:$B,$A99,Plant_BD!$AL:$AL)/($AA99+SUMIF(Plant_BD!$B:$B,$A99,Plant_BD!$AL:$AL))),"")</f>
        <v>0.99556925769098104</v>
      </c>
      <c r="P99" s="219"/>
      <c r="Q99" s="220">
        <f>IFERROR(1-(SUMIF(Grid_BD!$B:$B,$A99,Grid_BD!$V:$V)/($AA99+SUMIF(Grid_BD!$B:$B,$A99,Grid_BD!$V:$V))),"")</f>
        <v>1</v>
      </c>
      <c r="R99" s="219">
        <f>IFERROR(1-(SUMIF(Grid_BD!$B:$B,$A99,Grid_BD!$V:$V)/($AA99+SUMIF(Grid_BD!$B:$B,$A99,Grid_BD!$V:$V))),"")</f>
        <v>1</v>
      </c>
      <c r="S99" s="9"/>
      <c r="T99" s="220"/>
      <c r="U99" s="221">
        <f t="shared" si="6"/>
        <v>0.83035284248889074</v>
      </c>
      <c r="V99" s="221" t="str">
        <f>IFERROR(_xlfn.XLOOKUP($A99,Input_Raw!$A:$A,Input_Raw!$FG:$FG),"")</f>
        <v/>
      </c>
      <c r="W99" s="222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78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22">
        <f>IFERROR(_xlfn.XLOOKUP($D99,'Modelling New'!$D:$D,'Modelling New'!O:O),"")</f>
        <v>0.85307603301688106</v>
      </c>
      <c r="AF99" s="222">
        <f>IFERROR(_xlfn.XLOOKUP($D99,'Modelling New'!$D:$D,'Modelling New'!W:W),"")</f>
        <v>0.13495571113721361</v>
      </c>
      <c r="AG99" s="222">
        <f>IFERROR(_xlfn.XLOOKUP($D99,'Modelling New'!$D:$D,'Modelling New'!AE:AE),"")</f>
        <v>0.995</v>
      </c>
      <c r="AH99" s="222">
        <f>IFERROR(_xlfn.XLOOKUP($D99,'Modelling New'!$D:$D,'Modelling New'!AF:AF),"")</f>
        <v>0.995</v>
      </c>
      <c r="AI99" s="9"/>
      <c r="AJ99" s="9"/>
      <c r="AK99" s="245"/>
      <c r="AL99" s="245"/>
      <c r="AM99" s="245"/>
      <c r="AN99" s="219"/>
      <c r="AO99" s="222"/>
      <c r="AP99" s="222"/>
      <c r="AQ99" s="222"/>
      <c r="AR99" s="223">
        <f>_xlfn.XLOOKUP(D99,'Modelling New'!$D:$D,'Modelling New'!$N:$N)</f>
        <v>130</v>
      </c>
      <c r="AS99" s="223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18">
        <f>Table13[[#This Row],[Date]]-DAY(Table13[[#This Row],[Date]])+1</f>
        <v>45839</v>
      </c>
      <c r="E100" s="9">
        <f t="shared" si="5"/>
        <v>31</v>
      </c>
      <c r="F100" s="188">
        <f>IFERROR(_xlfn.XLOOKUP($A100,Input_Raw!$A:$A,Input_Raw!$FC:$FC),"")</f>
        <v>12.450000000000001</v>
      </c>
      <c r="G100" s="189">
        <f>IFERROR(_xlfn.XLOOKUP($A100,Input_Raw!$A:$A,Input_Raw!$CY:$CY),"")</f>
        <v>2.7210574749999985</v>
      </c>
      <c r="H100" s="189">
        <f>IFERROR(_xlfn.XLOOKUP($A100,Input_Raw!$A:$A,Input_Raw!$DA:$DA),"")</f>
        <v>0.45756855833333349</v>
      </c>
      <c r="I100" s="189">
        <f>IFERROR(_xlfn.XLOOKUP($A100,Input_Raw!$A:$A,Input_Raw!$CX:$CX),"")</f>
        <v>3.0825917833333332</v>
      </c>
      <c r="J100" s="189">
        <f>IFERROR(_xlfn.XLOOKUP($A100,Input_Raw!$A:$A,Input_Raw!$CZ:$CZ),"")</f>
        <v>0.37990769166666627</v>
      </c>
      <c r="K100" s="190">
        <f>IFERROR(_xlfn.XLOOKUP($A100,Input_Raw!$A:$A,Input_Raw!$DB:$DB),"")</f>
        <v>26.4171909167368</v>
      </c>
      <c r="L100" s="190">
        <f>IFERROR(_xlfn.XLOOKUP($A100,Input_Raw!$A:$A,Input_Raw!$DC:$DC),"")</f>
        <v>34.854059714045398</v>
      </c>
      <c r="M100" s="189">
        <f>IFERROR(_xlfn.XLOOKUP($A100,Input_Raw!$A:$A,Input_Raw!$DF:$DF),"")</f>
        <v>0.98163204373423008</v>
      </c>
      <c r="N100" s="189">
        <f>IFERROR(_xlfn.XLOOKUP($A100,Input_Raw!$A:$A,Input_Raw!$DG:$DG),"")</f>
        <v>4.3305000000000007</v>
      </c>
      <c r="O100" s="219">
        <f>IFERROR(1-(SUMIF(Plant_BD!$B:$B,$A100,Plant_BD!$AL:$AL)/($AA100+SUMIF(Plant_BD!$B:$B,$A100,Plant_BD!$AL:$AL))),"")</f>
        <v>0.97301973193284363</v>
      </c>
      <c r="P100" s="219"/>
      <c r="Q100" s="220">
        <f>IFERROR(1-(SUMIF(Grid_BD!$B:$B,$A100,Grid_BD!$V:$V)/($AA100+SUMIF(Grid_BD!$B:$B,$A100,Grid_BD!$V:$V))),"")</f>
        <v>1</v>
      </c>
      <c r="R100" s="219">
        <f>IFERROR(1-(SUMIF(Grid_BD!$B:$B,$A100,Grid_BD!$V:$V)/($AA100+SUMIF(Grid_BD!$B:$B,$A100,Grid_BD!$V:$V))),"")</f>
        <v>1</v>
      </c>
      <c r="S100" s="9"/>
      <c r="T100" s="220"/>
      <c r="U100" s="221">
        <f t="shared" si="6"/>
        <v>0.78142263554050218</v>
      </c>
      <c r="V100" s="221" t="str">
        <f>IFERROR(_xlfn.XLOOKUP($A100,Input_Raw!$A:$A,Input_Raw!$FG:$FG),"")</f>
        <v/>
      </c>
      <c r="W100" s="222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78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22">
        <f>IFERROR(_xlfn.XLOOKUP($D100,'Modelling New'!$D:$D,'Modelling New'!O:O),"")</f>
        <v>0.85307603301688106</v>
      </c>
      <c r="AF100" s="222">
        <f>IFERROR(_xlfn.XLOOKUP($D100,'Modelling New'!$D:$D,'Modelling New'!W:W),"")</f>
        <v>0.13495571113721361</v>
      </c>
      <c r="AG100" s="222">
        <f>IFERROR(_xlfn.XLOOKUP($D100,'Modelling New'!$D:$D,'Modelling New'!AE:AE),"")</f>
        <v>0.995</v>
      </c>
      <c r="AH100" s="222">
        <f>IFERROR(_xlfn.XLOOKUP($D100,'Modelling New'!$D:$D,'Modelling New'!AF:AF),"")</f>
        <v>0.995</v>
      </c>
      <c r="AI100" s="9"/>
      <c r="AJ100" s="9"/>
      <c r="AK100" s="245"/>
      <c r="AL100" s="245"/>
      <c r="AM100" s="245"/>
      <c r="AN100" s="219"/>
      <c r="AO100" s="222"/>
      <c r="AP100" s="222"/>
      <c r="AQ100" s="222"/>
      <c r="AR100" s="223">
        <f>_xlfn.XLOOKUP(D100,'Modelling New'!$D:$D,'Modelling New'!$N:$N)</f>
        <v>130</v>
      </c>
      <c r="AS100" s="223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18">
        <f>Table13[[#This Row],[Date]]-DAY(Table13[[#This Row],[Date]])+1</f>
        <v>45839</v>
      </c>
      <c r="E101" s="9">
        <f t="shared" si="5"/>
        <v>31</v>
      </c>
      <c r="F101" s="188">
        <f>IFERROR(_xlfn.XLOOKUP($A101,Input_Raw!$A:$A,Input_Raw!$FC:$FC),"")</f>
        <v>12.616666666666667</v>
      </c>
      <c r="G101" s="178">
        <f>IFERROR(_xlfn.XLOOKUP($A101,Input_Raw!$A:$A,Input_Raw!$CY:$CY),"")</f>
        <v>2.5538611499999972</v>
      </c>
      <c r="H101" s="178">
        <f>IFERROR(_xlfn.XLOOKUP($A101,Input_Raw!$A:$A,Input_Raw!$DA:$DA),"")</f>
        <v>0.41116478333333384</v>
      </c>
      <c r="I101" s="178">
        <f>IFERROR(_xlfn.XLOOKUP($A101,Input_Raw!$A:$A,Input_Raw!$CX:$CX),"")</f>
        <v>2.8791523249999988</v>
      </c>
      <c r="J101" s="178">
        <f>IFERROR(_xlfn.XLOOKUP($A101,Input_Raw!$A:$A,Input_Raw!$CZ:$CZ),"")</f>
        <v>0.36956713333333302</v>
      </c>
      <c r="K101" s="190">
        <f>IFERROR(_xlfn.XLOOKUP($A101,Input_Raw!$A:$A,Input_Raw!$DB:$DB),"")</f>
        <v>25.924474348191694</v>
      </c>
      <c r="L101" s="190">
        <f>IFERROR(_xlfn.XLOOKUP($A101,Input_Raw!$A:$A,Input_Raw!$DC:$DC),"")</f>
        <v>33.726339781328825</v>
      </c>
      <c r="M101" s="189">
        <f>IFERROR(_xlfn.XLOOKUP($A101,Input_Raw!$A:$A,Input_Raw!$DF:$DF),"")</f>
        <v>1.2283259041211099</v>
      </c>
      <c r="N101" s="189">
        <f>IFERROR(_xlfn.XLOOKUP($A101,Input_Raw!$A:$A,Input_Raw!$DG:$DG),"")</f>
        <v>3.609</v>
      </c>
      <c r="O101" s="219">
        <f>IFERROR(1-(SUMIF(Plant_BD!$B:$B,$A101,Plant_BD!$AL:$AL)/($AA101+SUMIF(Plant_BD!$B:$B,$A101,Plant_BD!$AL:$AL))),"")</f>
        <v>0.92915420079330224</v>
      </c>
      <c r="P101" s="219"/>
      <c r="Q101" s="220">
        <f>IFERROR(1-(SUMIF(Grid_BD!$B:$B,$A101,Grid_BD!$V:$V)/($AA101+SUMIF(Grid_BD!$B:$B,$A101,Grid_BD!$V:$V))),"")</f>
        <v>1</v>
      </c>
      <c r="R101" s="219">
        <f>IFERROR(1-(SUMIF(Grid_BD!$B:$B,$A101,Grid_BD!$V:$V)/($AA101+SUMIF(Grid_BD!$B:$B,$A101,Grid_BD!$V:$V))),"")</f>
        <v>1</v>
      </c>
      <c r="S101" s="9"/>
      <c r="T101" s="220"/>
      <c r="U101" s="221">
        <f t="shared" si="6"/>
        <v>0.79544024437187577</v>
      </c>
      <c r="V101" s="221" t="str">
        <f>IFERROR(_xlfn.XLOOKUP($A101,Input_Raw!$A:$A,Input_Raw!$FG:$FG),"")</f>
        <v/>
      </c>
      <c r="W101" s="222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78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22">
        <f>IFERROR(_xlfn.XLOOKUP($D101,'Modelling New'!$D:$D,'Modelling New'!O:O),"")</f>
        <v>0.85307603301688106</v>
      </c>
      <c r="AF101" s="222">
        <f>IFERROR(_xlfn.XLOOKUP($D101,'Modelling New'!$D:$D,'Modelling New'!W:W),"")</f>
        <v>0.13495571113721361</v>
      </c>
      <c r="AG101" s="222">
        <f>IFERROR(_xlfn.XLOOKUP($D101,'Modelling New'!$D:$D,'Modelling New'!AE:AE),"")</f>
        <v>0.995</v>
      </c>
      <c r="AH101" s="222">
        <f>IFERROR(_xlfn.XLOOKUP($D101,'Modelling New'!$D:$D,'Modelling New'!AF:AF),"")</f>
        <v>0.995</v>
      </c>
      <c r="AI101" s="9"/>
      <c r="AJ101" s="9"/>
      <c r="AK101" s="245"/>
      <c r="AL101" s="245"/>
      <c r="AM101" s="245"/>
      <c r="AN101" s="219"/>
      <c r="AO101" s="222"/>
      <c r="AP101" s="222"/>
      <c r="AQ101" s="222"/>
      <c r="AR101" s="223">
        <f>_xlfn.XLOOKUP(D101,'Modelling New'!$D:$D,'Modelling New'!$N:$N)</f>
        <v>130</v>
      </c>
      <c r="AS101" s="223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18">
        <f>Table13[[#This Row],[Date]]-DAY(Table13[[#This Row],[Date]])+1</f>
        <v>45839</v>
      </c>
      <c r="E102" s="9">
        <f t="shared" si="5"/>
        <v>31</v>
      </c>
      <c r="F102" s="188">
        <f>IFERROR(_xlfn.XLOOKUP($A102,Input_Raw!$A:$A,Input_Raw!$FC:$FC),"")</f>
        <v>12.133333333333333</v>
      </c>
      <c r="G102" s="189">
        <f>IFERROR(_xlfn.XLOOKUP($A102,Input_Raw!$A:$A,Input_Raw!$CY:$CY),"")</f>
        <v>1.564564541666668</v>
      </c>
      <c r="H102" s="189">
        <f>IFERROR(_xlfn.XLOOKUP($A102,Input_Raw!$A:$A,Input_Raw!$DA:$DA),"")</f>
        <v>0.2490479583333334</v>
      </c>
      <c r="I102" s="189">
        <f>IFERROR(_xlfn.XLOOKUP($A102,Input_Raw!$A:$A,Input_Raw!$CX:$CX),"")</f>
        <v>1.7786749416666672</v>
      </c>
      <c r="J102" s="189">
        <f>IFERROR(_xlfn.XLOOKUP($A102,Input_Raw!$A:$A,Input_Raw!$CZ:$CZ),"")</f>
        <v>0.21729651666666655</v>
      </c>
      <c r="K102" s="190">
        <f>IFERROR(_xlfn.XLOOKUP($A102,Input_Raw!$A:$A,Input_Raw!$DB:$DB),"")</f>
        <v>25.094625531914829</v>
      </c>
      <c r="L102" s="190">
        <f>IFERROR(_xlfn.XLOOKUP($A102,Input_Raw!$A:$A,Input_Raw!$DC:$DC),"")</f>
        <v>31.198186808510648</v>
      </c>
      <c r="M102" s="189">
        <f>IFERROR(_xlfn.XLOOKUP($A102,Input_Raw!$A:$A,Input_Raw!$DF:$DF),"")</f>
        <v>1.2582434042553192</v>
      </c>
      <c r="N102" s="189">
        <f>IFERROR(_xlfn.XLOOKUP($A102,Input_Raw!$A:$A,Input_Raw!$DG:$DG),"")</f>
        <v>3.2069999999999999</v>
      </c>
      <c r="O102" s="219">
        <f>IFERROR(1-(SUMIF(Plant_BD!$B:$B,$A102,Plant_BD!$AL:$AL)/($AA102+SUMIF(Plant_BD!$B:$B,$A102,Plant_BD!$AL:$AL))),"")</f>
        <v>0.9986975370574831</v>
      </c>
      <c r="P102" s="219"/>
      <c r="Q102" s="220">
        <f>IFERROR(1-(SUMIF(Grid_BD!$B:$B,$A102,Grid_BD!$V:$V)/($AA102+SUMIF(Grid_BD!$B:$B,$A102,Grid_BD!$V:$V))),"")</f>
        <v>1</v>
      </c>
      <c r="R102" s="219">
        <f>IFERROR(1-(SUMIF(Grid_BD!$B:$B,$A102,Grid_BD!$V:$V)/($AA102+SUMIF(Grid_BD!$B:$B,$A102,Grid_BD!$V:$V))),"")</f>
        <v>1</v>
      </c>
      <c r="S102" s="9"/>
      <c r="T102" s="220"/>
      <c r="U102" s="221">
        <f t="shared" si="6"/>
        <v>0.85175238902061234</v>
      </c>
      <c r="V102" s="221" t="str">
        <f>IFERROR(_xlfn.XLOOKUP($A102,Input_Raw!$A:$A,Input_Raw!$FG:$FG),"")</f>
        <v/>
      </c>
      <c r="W102" s="222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78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22">
        <f>IFERROR(_xlfn.XLOOKUP($D102,'Modelling New'!$D:$D,'Modelling New'!O:O),"")</f>
        <v>0.85307603301688106</v>
      </c>
      <c r="AF102" s="222">
        <f>IFERROR(_xlfn.XLOOKUP($D102,'Modelling New'!$D:$D,'Modelling New'!W:W),"")</f>
        <v>0.13495571113721361</v>
      </c>
      <c r="AG102" s="222">
        <f>IFERROR(_xlfn.XLOOKUP($D102,'Modelling New'!$D:$D,'Modelling New'!AE:AE),"")</f>
        <v>0.995</v>
      </c>
      <c r="AH102" s="222">
        <f>IFERROR(_xlfn.XLOOKUP($D102,'Modelling New'!$D:$D,'Modelling New'!AF:AF),"")</f>
        <v>0.995</v>
      </c>
      <c r="AI102" s="9"/>
      <c r="AJ102" s="9"/>
      <c r="AK102" s="245"/>
      <c r="AL102" s="245"/>
      <c r="AM102" s="245"/>
      <c r="AN102" s="219"/>
      <c r="AO102" s="222"/>
      <c r="AP102" s="222"/>
      <c r="AQ102" s="222"/>
      <c r="AR102" s="223">
        <f>_xlfn.XLOOKUP(D102,'Modelling New'!$D:$D,'Modelling New'!$N:$N)</f>
        <v>130</v>
      </c>
      <c r="AS102" s="223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18">
        <f>Table13[[#This Row],[Date]]-DAY(Table13[[#This Row],[Date]])+1</f>
        <v>45839</v>
      </c>
      <c r="E103" s="9">
        <f t="shared" si="5"/>
        <v>31</v>
      </c>
      <c r="F103" s="188">
        <f>IFERROR(_xlfn.XLOOKUP($A103,Input_Raw!$A:$A,Input_Raw!$FC:$FC),"")</f>
        <v>12.050000000000002</v>
      </c>
      <c r="G103" s="178">
        <f>IFERROR(_xlfn.XLOOKUP($A103,Input_Raw!$A:$A,Input_Raw!$CY:$CY),"")</f>
        <v>1.6903568333333348</v>
      </c>
      <c r="H103" s="178">
        <f>IFERROR(_xlfn.XLOOKUP($A103,Input_Raw!$A:$A,Input_Raw!$DA:$DA),"")</f>
        <v>0.25764008333333338</v>
      </c>
      <c r="I103" s="178">
        <f>IFERROR(_xlfn.XLOOKUP($A103,Input_Raw!$A:$A,Input_Raw!$CX:$CX),"")</f>
        <v>1.932517016666665</v>
      </c>
      <c r="J103" s="178">
        <f>IFERROR(_xlfn.XLOOKUP($A103,Input_Raw!$A:$A,Input_Raw!$CZ:$CZ),"")</f>
        <v>0.2330984916666666</v>
      </c>
      <c r="K103" s="190">
        <f>IFERROR(_xlfn.XLOOKUP($A103,Input_Raw!$A:$A,Input_Raw!$DB:$DB),"")</f>
        <v>25.159582828920627</v>
      </c>
      <c r="L103" s="190">
        <f>IFERROR(_xlfn.XLOOKUP($A103,Input_Raw!$A:$A,Input_Raw!$DC:$DC),"")</f>
        <v>31.224780847030146</v>
      </c>
      <c r="M103" s="189">
        <f>IFERROR(_xlfn.XLOOKUP($A103,Input_Raw!$A:$A,Input_Raw!$DF:$DF),"")</f>
        <v>0.93158284660426804</v>
      </c>
      <c r="N103" s="189">
        <f>IFERROR(_xlfn.XLOOKUP($A103,Input_Raw!$A:$A,Input_Raw!$DG:$DG),"")</f>
        <v>1.98</v>
      </c>
      <c r="O103" s="219">
        <f>IFERROR(1-(SUMIF(Plant_BD!$B:$B,$A103,Plant_BD!$AL:$AL)/($AA103+SUMIF(Plant_BD!$B:$B,$A103,Plant_BD!$AL:$AL))),"")</f>
        <v>0.99500615354126776</v>
      </c>
      <c r="P103" s="219"/>
      <c r="Q103" s="220">
        <f>IFERROR(1-(SUMIF(Grid_BD!$B:$B,$A103,Grid_BD!$V:$V)/($AA103+SUMIF(Grid_BD!$B:$B,$A103,Grid_BD!$V:$V))),"")</f>
        <v>1</v>
      </c>
      <c r="R103" s="219">
        <f>IFERROR(1-(SUMIF(Grid_BD!$B:$B,$A103,Grid_BD!$V:$V)/($AA103+SUMIF(Grid_BD!$B:$B,$A103,Grid_BD!$V:$V))),"")</f>
        <v>1</v>
      </c>
      <c r="S103" s="9"/>
      <c r="T103" s="220"/>
      <c r="U103" s="221">
        <f t="shared" si="6"/>
        <v>0.89710281643668943</v>
      </c>
      <c r="V103" s="221" t="str">
        <f>IFERROR(_xlfn.XLOOKUP($A103,Input_Raw!$A:$A,Input_Raw!$FG:$FG),"")</f>
        <v/>
      </c>
      <c r="W103" s="222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78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22">
        <f>IFERROR(_xlfn.XLOOKUP($D103,'Modelling New'!$D:$D,'Modelling New'!O:O),"")</f>
        <v>0.85307603301688106</v>
      </c>
      <c r="AF103" s="222">
        <f>IFERROR(_xlfn.XLOOKUP($D103,'Modelling New'!$D:$D,'Modelling New'!W:W),"")</f>
        <v>0.13495571113721361</v>
      </c>
      <c r="AG103" s="222">
        <f>IFERROR(_xlfn.XLOOKUP($D103,'Modelling New'!$D:$D,'Modelling New'!AE:AE),"")</f>
        <v>0.995</v>
      </c>
      <c r="AH103" s="222">
        <f>IFERROR(_xlfn.XLOOKUP($D103,'Modelling New'!$D:$D,'Modelling New'!AF:AF),"")</f>
        <v>0.995</v>
      </c>
      <c r="AI103" s="9"/>
      <c r="AJ103" s="9"/>
      <c r="AK103" s="245"/>
      <c r="AL103" s="245"/>
      <c r="AM103" s="245"/>
      <c r="AN103" s="219"/>
      <c r="AO103" s="222"/>
      <c r="AP103" s="222"/>
      <c r="AQ103" s="222"/>
      <c r="AR103" s="223">
        <f>_xlfn.XLOOKUP(D103,'Modelling New'!$D:$D,'Modelling New'!$N:$N)</f>
        <v>130</v>
      </c>
      <c r="AS103" s="223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18">
        <f>Table13[[#This Row],[Date]]-DAY(Table13[[#This Row],[Date]])+1</f>
        <v>45839</v>
      </c>
      <c r="E104" s="9">
        <f t="shared" ref="E104:E167" si="10">DAY(EOMONTH(A104,0))</f>
        <v>31</v>
      </c>
      <c r="F104" s="188">
        <f>IFERROR(_xlfn.XLOOKUP($A104,Input_Raw!$A:$A,Input_Raw!$FC:$FC),"")</f>
        <v>11.75</v>
      </c>
      <c r="G104" s="189">
        <f>IFERROR(_xlfn.XLOOKUP($A104,Input_Raw!$A:$A,Input_Raw!$CY:$CY),"")</f>
        <v>1.8881984250000006</v>
      </c>
      <c r="H104" s="189">
        <f>IFERROR(_xlfn.XLOOKUP($A104,Input_Raw!$A:$A,Input_Raw!$DA:$DA),"")</f>
        <v>0.28549512499999974</v>
      </c>
      <c r="I104" s="189">
        <f>IFERROR(_xlfn.XLOOKUP($A104,Input_Raw!$A:$A,Input_Raw!$CX:$CX),"")</f>
        <v>2.1368318833333335</v>
      </c>
      <c r="J104" s="189">
        <f>IFERROR(_xlfn.XLOOKUP($A104,Input_Raw!$A:$A,Input_Raw!$CZ:$CZ),"")</f>
        <v>0.26785047500000003</v>
      </c>
      <c r="K104" s="190">
        <f>IFERROR(_xlfn.XLOOKUP($A104,Input_Raw!$A:$A,Input_Raw!$DB:$DB),"")</f>
        <v>25.170344076655034</v>
      </c>
      <c r="L104" s="190">
        <f>IFERROR(_xlfn.XLOOKUP($A104,Input_Raw!$A:$A,Input_Raw!$DC:$DC),"")</f>
        <v>31.423631533101037</v>
      </c>
      <c r="M104" s="189">
        <f>IFERROR(_xlfn.XLOOKUP($A104,Input_Raw!$A:$A,Input_Raw!$DF:$DF),"")</f>
        <v>0.91580749128919814</v>
      </c>
      <c r="N104" s="189">
        <f>IFERROR(_xlfn.XLOOKUP($A104,Input_Raw!$A:$A,Input_Raw!$DG:$DG),"")</f>
        <v>2.3369999999999997</v>
      </c>
      <c r="O104" s="219">
        <f>IFERROR(1-(SUMIF(Plant_BD!$B:$B,$A104,Plant_BD!$AL:$AL)/($AA104+SUMIF(Plant_BD!$B:$B,$A104,Plant_BD!$AL:$AL))),"")</f>
        <v>1</v>
      </c>
      <c r="P104" s="219"/>
      <c r="Q104" s="220">
        <f>IFERROR(1-(SUMIF(Grid_BD!$B:$B,$A104,Grid_BD!$V:$V)/($AA104+SUMIF(Grid_BD!$B:$B,$A104,Grid_BD!$V:$V))),"")</f>
        <v>1</v>
      </c>
      <c r="R104" s="219">
        <f>IFERROR(1-(SUMIF(Grid_BD!$B:$B,$A104,Grid_BD!$V:$V)/($AA104+SUMIF(Grid_BD!$B:$B,$A104,Grid_BD!$V:$V))),"")</f>
        <v>1</v>
      </c>
      <c r="S104" s="9"/>
      <c r="T104" s="220"/>
      <c r="U104" s="221">
        <f t="shared" ref="U104:U167" si="11">IFERROR(AA104/I104/AB104/1000,"")</f>
        <v>0.887880666923057</v>
      </c>
      <c r="V104" s="221" t="str">
        <f>IFERROR(_xlfn.XLOOKUP($A104,Input_Raw!$A:$A,Input_Raw!$FG:$FG),"")</f>
        <v/>
      </c>
      <c r="W104" s="222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78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22">
        <f>IFERROR(_xlfn.XLOOKUP($D104,'Modelling New'!$D:$D,'Modelling New'!O:O),"")</f>
        <v>0.85307603301688106</v>
      </c>
      <c r="AF104" s="222">
        <f>IFERROR(_xlfn.XLOOKUP($D104,'Modelling New'!$D:$D,'Modelling New'!W:W),"")</f>
        <v>0.13495571113721361</v>
      </c>
      <c r="AG104" s="222">
        <f>IFERROR(_xlfn.XLOOKUP($D104,'Modelling New'!$D:$D,'Modelling New'!AE:AE),"")</f>
        <v>0.995</v>
      </c>
      <c r="AH104" s="222">
        <f>IFERROR(_xlfn.XLOOKUP($D104,'Modelling New'!$D:$D,'Modelling New'!AF:AF),"")</f>
        <v>0.995</v>
      </c>
      <c r="AI104" s="9"/>
      <c r="AJ104" s="9"/>
      <c r="AK104" s="245"/>
      <c r="AL104" s="245"/>
      <c r="AM104" s="245"/>
      <c r="AN104" s="219"/>
      <c r="AO104" s="222"/>
      <c r="AP104" s="222"/>
      <c r="AQ104" s="222"/>
      <c r="AR104" s="223">
        <f>_xlfn.XLOOKUP(D104,'Modelling New'!$D:$D,'Modelling New'!$N:$N)</f>
        <v>130</v>
      </c>
      <c r="AS104" s="223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18">
        <f>Table13[[#This Row],[Date]]-DAY(Table13[[#This Row],[Date]])+1</f>
        <v>45839</v>
      </c>
      <c r="E105" s="9">
        <f t="shared" si="10"/>
        <v>31</v>
      </c>
      <c r="F105" s="188">
        <f>IFERROR(_xlfn.XLOOKUP($A105,Input_Raw!$A:$A,Input_Raw!$FC:$FC),"")</f>
        <v>11.833333333333334</v>
      </c>
      <c r="G105" s="178">
        <f>IFERROR(_xlfn.XLOOKUP($A105,Input_Raw!$A:$A,Input_Raw!$CY:$CY),"")</f>
        <v>2.2320600749999984</v>
      </c>
      <c r="H105" s="178">
        <f>IFERROR(_xlfn.XLOOKUP($A105,Input_Raw!$A:$A,Input_Raw!$DA:$DA),"")</f>
        <v>0.35532525000000043</v>
      </c>
      <c r="I105" s="178">
        <f>IFERROR(_xlfn.XLOOKUP($A105,Input_Raw!$A:$A,Input_Raw!$CX:$CX),"")</f>
        <v>2.3244967083333341</v>
      </c>
      <c r="J105" s="178">
        <f>IFERROR(_xlfn.XLOOKUP($A105,Input_Raw!$A:$A,Input_Raw!$CZ:$CZ),"")</f>
        <v>0.29586127499999998</v>
      </c>
      <c r="K105" s="190">
        <f>IFERROR(_xlfn.XLOOKUP($A105,Input_Raw!$A:$A,Input_Raw!$DB:$DB),"")</f>
        <v>26.178919123204818</v>
      </c>
      <c r="L105" s="190">
        <f>IFERROR(_xlfn.XLOOKUP($A105,Input_Raw!$A:$A,Input_Raw!$DC:$DC),"")</f>
        <v>34.267191609977331</v>
      </c>
      <c r="M105" s="189">
        <f>IFERROR(_xlfn.XLOOKUP($A105,Input_Raw!$A:$A,Input_Raw!$DF:$DF),"")</f>
        <v>0.7607664399092966</v>
      </c>
      <c r="N105" s="189">
        <f>IFERROR(_xlfn.XLOOKUP($A105,Input_Raw!$A:$A,Input_Raw!$DG:$DG),"")</f>
        <v>1.7549999999999999</v>
      </c>
      <c r="O105" s="219">
        <f>IFERROR(1-(SUMIF(Plant_BD!$B:$B,$A105,Plant_BD!$AL:$AL)/($AA105+SUMIF(Plant_BD!$B:$B,$A105,Plant_BD!$AL:$AL))),"")</f>
        <v>1</v>
      </c>
      <c r="P105" s="219"/>
      <c r="Q105" s="220">
        <f>IFERROR(1-(SUMIF(Grid_BD!$B:$B,$A105,Grid_BD!$V:$V)/($AA105+SUMIF(Grid_BD!$B:$B,$A105,Grid_BD!$V:$V))),"")</f>
        <v>1</v>
      </c>
      <c r="R105" s="219">
        <f>IFERROR(1-(SUMIF(Grid_BD!$B:$B,$A105,Grid_BD!$V:$V)/($AA105+SUMIF(Grid_BD!$B:$B,$A105,Grid_BD!$V:$V))),"")</f>
        <v>1</v>
      </c>
      <c r="S105" s="9"/>
      <c r="T105" s="220"/>
      <c r="U105" s="221">
        <f t="shared" si="11"/>
        <v>0.93711728582438236</v>
      </c>
      <c r="V105" s="221" t="str">
        <f>IFERROR(_xlfn.XLOOKUP($A105,Input_Raw!$A:$A,Input_Raw!$FG:$FG),"")</f>
        <v/>
      </c>
      <c r="W105" s="222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78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22">
        <f>IFERROR(_xlfn.XLOOKUP($D105,'Modelling New'!$D:$D,'Modelling New'!O:O),"")</f>
        <v>0.85307603301688106</v>
      </c>
      <c r="AF105" s="222">
        <f>IFERROR(_xlfn.XLOOKUP($D105,'Modelling New'!$D:$D,'Modelling New'!W:W),"")</f>
        <v>0.13495571113721361</v>
      </c>
      <c r="AG105" s="222">
        <f>IFERROR(_xlfn.XLOOKUP($D105,'Modelling New'!$D:$D,'Modelling New'!AE:AE),"")</f>
        <v>0.995</v>
      </c>
      <c r="AH105" s="222">
        <f>IFERROR(_xlfn.XLOOKUP($D105,'Modelling New'!$D:$D,'Modelling New'!AF:AF),"")</f>
        <v>0.995</v>
      </c>
      <c r="AI105" s="9"/>
      <c r="AJ105" s="9"/>
      <c r="AK105" s="245"/>
      <c r="AL105" s="245"/>
      <c r="AM105" s="245"/>
      <c r="AN105" s="219"/>
      <c r="AO105" s="222"/>
      <c r="AP105" s="222"/>
      <c r="AQ105" s="222"/>
      <c r="AR105" s="223">
        <f>_xlfn.XLOOKUP(D105,'Modelling New'!$D:$D,'Modelling New'!$N:$N)</f>
        <v>130</v>
      </c>
      <c r="AS105" s="223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18">
        <f>Table13[[#This Row],[Date]]-DAY(Table13[[#This Row],[Date]])+1</f>
        <v>45839</v>
      </c>
      <c r="E106" s="9">
        <f t="shared" si="10"/>
        <v>31</v>
      </c>
      <c r="F106" s="188">
        <f>IFERROR(_xlfn.XLOOKUP($A106,Input_Raw!$A:$A,Input_Raw!$FC:$FC),"")</f>
        <v>12.733333333333334</v>
      </c>
      <c r="G106" s="189">
        <f>IFERROR(_xlfn.XLOOKUP($A106,Input_Raw!$A:$A,Input_Raw!$CY:$CY),"")</f>
        <v>5.6987451833333376</v>
      </c>
      <c r="H106" s="189">
        <f>IFERROR(_xlfn.XLOOKUP($A106,Input_Raw!$A:$A,Input_Raw!$DA:$DA),"")</f>
        <v>0.94671802499999991</v>
      </c>
      <c r="I106" s="189">
        <f>IFERROR(_xlfn.XLOOKUP($A106,Input_Raw!$A:$A,Input_Raw!$CX:$CX),"")</f>
        <v>5.7179680583333248</v>
      </c>
      <c r="J106" s="189">
        <f>IFERROR(_xlfn.XLOOKUP($A106,Input_Raw!$A:$A,Input_Raw!$CZ:$CZ),"")</f>
        <v>0.76291427500000064</v>
      </c>
      <c r="K106" s="190">
        <f>IFERROR(_xlfn.XLOOKUP($A106,Input_Raw!$A:$A,Input_Raw!$DB:$DB),"")</f>
        <v>27.847669172932342</v>
      </c>
      <c r="L106" s="190">
        <f>IFERROR(_xlfn.XLOOKUP($A106,Input_Raw!$A:$A,Input_Raw!$DC:$DC),"")</f>
        <v>40.495396407685902</v>
      </c>
      <c r="M106" s="189">
        <f>IFERROR(_xlfn.XLOOKUP($A106,Input_Raw!$A:$A,Input_Raw!$DF:$DF),"")</f>
        <v>1.1097631578947365</v>
      </c>
      <c r="N106" s="189">
        <f>IFERROR(_xlfn.XLOOKUP($A106,Input_Raw!$A:$A,Input_Raw!$DG:$DG),"")</f>
        <v>3.0285000000000002</v>
      </c>
      <c r="O106" s="219">
        <f>IFERROR(1-(SUMIF(Plant_BD!$B:$B,$A106,Plant_BD!$AL:$AL)/($AA106+SUMIF(Plant_BD!$B:$B,$A106,Plant_BD!$AL:$AL))),"")</f>
        <v>0.99768624548562657</v>
      </c>
      <c r="P106" s="219"/>
      <c r="Q106" s="220">
        <f>IFERROR(1-(SUMIF(Grid_BD!$B:$B,$A106,Grid_BD!$V:$V)/($AA106+SUMIF(Grid_BD!$B:$B,$A106,Grid_BD!$V:$V))),"")</f>
        <v>1</v>
      </c>
      <c r="R106" s="219">
        <f>IFERROR(1-(SUMIF(Grid_BD!$B:$B,$A106,Grid_BD!$V:$V)/($AA106+SUMIF(Grid_BD!$B:$B,$A106,Grid_BD!$V:$V))),"")</f>
        <v>1</v>
      </c>
      <c r="S106" s="9"/>
      <c r="T106" s="220"/>
      <c r="U106" s="221">
        <f t="shared" si="11"/>
        <v>0.82415503974559845</v>
      </c>
      <c r="V106" s="221" t="str">
        <f>IFERROR(_xlfn.XLOOKUP($A106,Input_Raw!$A:$A,Input_Raw!$FG:$FG),"")</f>
        <v/>
      </c>
      <c r="W106" s="222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78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22">
        <f>IFERROR(_xlfn.XLOOKUP($D106,'Modelling New'!$D:$D,'Modelling New'!O:O),"")</f>
        <v>0.85307603301688106</v>
      </c>
      <c r="AF106" s="222">
        <f>IFERROR(_xlfn.XLOOKUP($D106,'Modelling New'!$D:$D,'Modelling New'!W:W),"")</f>
        <v>0.13495571113721361</v>
      </c>
      <c r="AG106" s="222">
        <f>IFERROR(_xlfn.XLOOKUP($D106,'Modelling New'!$D:$D,'Modelling New'!AE:AE),"")</f>
        <v>0.995</v>
      </c>
      <c r="AH106" s="222">
        <f>IFERROR(_xlfn.XLOOKUP($D106,'Modelling New'!$D:$D,'Modelling New'!AF:AF),"")</f>
        <v>0.995</v>
      </c>
      <c r="AI106" s="9"/>
      <c r="AJ106" s="9"/>
      <c r="AK106" s="245"/>
      <c r="AL106" s="245"/>
      <c r="AM106" s="245"/>
      <c r="AN106" s="219"/>
      <c r="AO106" s="222"/>
      <c r="AP106" s="222"/>
      <c r="AQ106" s="222"/>
      <c r="AR106" s="223">
        <f>_xlfn.XLOOKUP(D106,'Modelling New'!$D:$D,'Modelling New'!$N:$N)</f>
        <v>130</v>
      </c>
      <c r="AS106" s="223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18">
        <f>Table13[[#This Row],[Date]]-DAY(Table13[[#This Row],[Date]])+1</f>
        <v>45839</v>
      </c>
      <c r="E107" s="9">
        <f t="shared" si="10"/>
        <v>31</v>
      </c>
      <c r="F107" s="188">
        <f>IFERROR(_xlfn.XLOOKUP($A107,Input_Raw!$A:$A,Input_Raw!$FC:$FC),"")</f>
        <v>12.683333333333334</v>
      </c>
      <c r="G107" s="178">
        <f>IFERROR(_xlfn.XLOOKUP($A107,Input_Raw!$A:$A,Input_Raw!$CY:$CY),"")</f>
        <v>4.1836896166666691</v>
      </c>
      <c r="H107" s="178">
        <f>IFERROR(_xlfn.XLOOKUP($A107,Input_Raw!$A:$A,Input_Raw!$DA:$DA),"")</f>
        <v>0.71307090000000017</v>
      </c>
      <c r="I107" s="178">
        <f>IFERROR(_xlfn.XLOOKUP($A107,Input_Raw!$A:$A,Input_Raw!$CX:$CX),"")</f>
        <v>4.2439528416666743</v>
      </c>
      <c r="J107" s="178">
        <f>IFERROR(_xlfn.XLOOKUP($A107,Input_Raw!$A:$A,Input_Raw!$CZ:$CZ),"")</f>
        <v>0.58508589999999971</v>
      </c>
      <c r="K107" s="190">
        <f>IFERROR(_xlfn.XLOOKUP($A107,Input_Raw!$A:$A,Input_Raw!$DB:$DB),"")</f>
        <v>27.784015088013462</v>
      </c>
      <c r="L107" s="190">
        <f>IFERROR(_xlfn.XLOOKUP($A107,Input_Raw!$A:$A,Input_Raw!$DC:$DC),"")</f>
        <v>38.310692791282527</v>
      </c>
      <c r="M107" s="189">
        <f>IFERROR(_xlfn.XLOOKUP($A107,Input_Raw!$A:$A,Input_Raw!$DF:$DF),"")</f>
        <v>1.476199916177702</v>
      </c>
      <c r="N107" s="189">
        <f>IFERROR(_xlfn.XLOOKUP($A107,Input_Raw!$A:$A,Input_Raw!$DG:$DG),"")</f>
        <v>2.976</v>
      </c>
      <c r="O107" s="219">
        <f>IFERROR(1-(SUMIF(Plant_BD!$B:$B,$A107,Plant_BD!$AL:$AL)/($AA107+SUMIF(Plant_BD!$B:$B,$A107,Plant_BD!$AL:$AL))),"")</f>
        <v>1</v>
      </c>
      <c r="P107" s="219"/>
      <c r="Q107" s="220">
        <f>IFERROR(1-(SUMIF(Grid_BD!$B:$B,$A107,Grid_BD!$V:$V)/($AA107+SUMIF(Grid_BD!$B:$B,$A107,Grid_BD!$V:$V))),"")</f>
        <v>1</v>
      </c>
      <c r="R107" s="219">
        <f>IFERROR(1-(SUMIF(Grid_BD!$B:$B,$A107,Grid_BD!$V:$V)/($AA107+SUMIF(Grid_BD!$B:$B,$A107,Grid_BD!$V:$V))),"")</f>
        <v>1</v>
      </c>
      <c r="S107" s="9"/>
      <c r="T107" s="220"/>
      <c r="U107" s="221">
        <f t="shared" si="11"/>
        <v>0.89489126505091265</v>
      </c>
      <c r="V107" s="221" t="str">
        <f>IFERROR(_xlfn.XLOOKUP($A107,Input_Raw!$A:$A,Input_Raw!$FG:$FG),"")</f>
        <v/>
      </c>
      <c r="W107" s="222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78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22">
        <f>IFERROR(_xlfn.XLOOKUP($D107,'Modelling New'!$D:$D,'Modelling New'!O:O),"")</f>
        <v>0.85307603301688106</v>
      </c>
      <c r="AF107" s="222">
        <f>IFERROR(_xlfn.XLOOKUP($D107,'Modelling New'!$D:$D,'Modelling New'!W:W),"")</f>
        <v>0.13495571113721361</v>
      </c>
      <c r="AG107" s="222">
        <f>IFERROR(_xlfn.XLOOKUP($D107,'Modelling New'!$D:$D,'Modelling New'!AE:AE),"")</f>
        <v>0.995</v>
      </c>
      <c r="AH107" s="222">
        <f>IFERROR(_xlfn.XLOOKUP($D107,'Modelling New'!$D:$D,'Modelling New'!AF:AF),"")</f>
        <v>0.995</v>
      </c>
      <c r="AI107" s="9"/>
      <c r="AJ107" s="9"/>
      <c r="AK107" s="245"/>
      <c r="AL107" s="245"/>
      <c r="AM107" s="245"/>
      <c r="AN107" s="219"/>
      <c r="AO107" s="222"/>
      <c r="AP107" s="222"/>
      <c r="AQ107" s="222"/>
      <c r="AR107" s="223">
        <f>_xlfn.XLOOKUP(D107,'Modelling New'!$D:$D,'Modelling New'!$N:$N)</f>
        <v>130</v>
      </c>
      <c r="AS107" s="223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18">
        <f>Table13[[#This Row],[Date]]-DAY(Table13[[#This Row],[Date]])+1</f>
        <v>45839</v>
      </c>
      <c r="E108" s="9">
        <f t="shared" si="10"/>
        <v>31</v>
      </c>
      <c r="F108" s="188">
        <f>IFERROR(_xlfn.XLOOKUP($A108,Input_Raw!$A:$A,Input_Raw!$FC:$FC),"")</f>
        <v>12.516666666666667</v>
      </c>
      <c r="G108" s="189">
        <f>IFERROR(_xlfn.XLOOKUP($A108,Input_Raw!$A:$A,Input_Raw!$CY:$CY),"")</f>
        <v>3.4609894166666644</v>
      </c>
      <c r="H108" s="189">
        <f>IFERROR(_xlfn.XLOOKUP($A108,Input_Raw!$A:$A,Input_Raw!$DA:$DA),"")</f>
        <v>0.60712797500000015</v>
      </c>
      <c r="I108" s="189">
        <f>IFERROR(_xlfn.XLOOKUP($A108,Input_Raw!$A:$A,Input_Raw!$CX:$CX),"")</f>
        <v>3.4859386166683346</v>
      </c>
      <c r="J108" s="189">
        <f>IFERROR(_xlfn.XLOOKUP($A108,Input_Raw!$A:$A,Input_Raw!$CZ:$CZ),"")</f>
        <v>0.49890708333333345</v>
      </c>
      <c r="K108" s="190">
        <f>IFERROR(_xlfn.XLOOKUP($A108,Input_Raw!$A:$A,Input_Raw!$DB:$DB),"")</f>
        <v>27.467051282051251</v>
      </c>
      <c r="L108" s="190">
        <f>IFERROR(_xlfn.XLOOKUP($A108,Input_Raw!$A:$A,Input_Raw!$DC:$DC),"")</f>
        <v>37.10352350427349</v>
      </c>
      <c r="M108" s="189">
        <f>IFERROR(_xlfn.XLOOKUP($A108,Input_Raw!$A:$A,Input_Raw!$DF:$DF),"")</f>
        <v>1.5938820512820504</v>
      </c>
      <c r="N108" s="189">
        <f>IFERROR(_xlfn.XLOOKUP($A108,Input_Raw!$A:$A,Input_Raw!$DG:$DG),"")</f>
        <v>3.3014999999999999</v>
      </c>
      <c r="O108" s="219">
        <f>IFERROR(1-(SUMIF(Plant_BD!$B:$B,$A108,Plant_BD!$AL:$AL)/($AA108+SUMIF(Plant_BD!$B:$B,$A108,Plant_BD!$AL:$AL))),"")</f>
        <v>1</v>
      </c>
      <c r="P108" s="219"/>
      <c r="Q108" s="220">
        <f>IFERROR(1-(SUMIF(Grid_BD!$B:$B,$A108,Grid_BD!$V:$V)/($AA108+SUMIF(Grid_BD!$B:$B,$A108,Grid_BD!$V:$V))),"")</f>
        <v>1</v>
      </c>
      <c r="R108" s="219">
        <f>IFERROR(1-(SUMIF(Grid_BD!$B:$B,$A108,Grid_BD!$V:$V)/($AA108+SUMIF(Grid_BD!$B:$B,$A108,Grid_BD!$V:$V))),"")</f>
        <v>1</v>
      </c>
      <c r="S108" s="9"/>
      <c r="T108" s="220"/>
      <c r="U108" s="221">
        <f t="shared" si="11"/>
        <v>0.93693092645749121</v>
      </c>
      <c r="V108" s="221" t="str">
        <f>IFERROR(_xlfn.XLOOKUP($A108,Input_Raw!$A:$A,Input_Raw!$FG:$FG),"")</f>
        <v/>
      </c>
      <c r="W108" s="222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78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22">
        <f>IFERROR(_xlfn.XLOOKUP($D108,'Modelling New'!$D:$D,'Modelling New'!O:O),"")</f>
        <v>0.85307603301688106</v>
      </c>
      <c r="AF108" s="222">
        <f>IFERROR(_xlfn.XLOOKUP($D108,'Modelling New'!$D:$D,'Modelling New'!W:W),"")</f>
        <v>0.13495571113721361</v>
      </c>
      <c r="AG108" s="222">
        <f>IFERROR(_xlfn.XLOOKUP($D108,'Modelling New'!$D:$D,'Modelling New'!AE:AE),"")</f>
        <v>0.995</v>
      </c>
      <c r="AH108" s="222">
        <f>IFERROR(_xlfn.XLOOKUP($D108,'Modelling New'!$D:$D,'Modelling New'!AF:AF),"")</f>
        <v>0.995</v>
      </c>
      <c r="AI108" s="9"/>
      <c r="AJ108" s="9"/>
      <c r="AK108" s="245"/>
      <c r="AL108" s="245"/>
      <c r="AM108" s="245"/>
      <c r="AN108" s="219"/>
      <c r="AO108" s="222"/>
      <c r="AP108" s="222"/>
      <c r="AQ108" s="222"/>
      <c r="AR108" s="223">
        <f>_xlfn.XLOOKUP(D108,'Modelling New'!$D:$D,'Modelling New'!$N:$N)</f>
        <v>130</v>
      </c>
      <c r="AS108" s="223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18">
        <f>Table13[[#This Row],[Date]]-DAY(Table13[[#This Row],[Date]])+1</f>
        <v>45839</v>
      </c>
      <c r="E109" s="9">
        <f t="shared" si="10"/>
        <v>31</v>
      </c>
      <c r="F109" s="188">
        <f>IFERROR(_xlfn.XLOOKUP($A109,Input_Raw!$A:$A,Input_Raw!$FC:$FC),"")</f>
        <v>12.450000000000001</v>
      </c>
      <c r="G109" s="178">
        <f>IFERROR(_xlfn.XLOOKUP($A109,Input_Raw!$A:$A,Input_Raw!$CY:$CY),"")</f>
        <v>5.1454962249999951</v>
      </c>
      <c r="H109" s="178">
        <f>IFERROR(_xlfn.XLOOKUP($A109,Input_Raw!$A:$A,Input_Raw!$DA:$DA),"")</f>
        <v>0.88511324999999974</v>
      </c>
      <c r="I109" s="178">
        <f>IFERROR(_xlfn.XLOOKUP($A109,Input_Raw!$A:$A,Input_Raw!$CX:$CX),"")</f>
        <v>5.1787414249999948</v>
      </c>
      <c r="J109" s="178">
        <f>IFERROR(_xlfn.XLOOKUP($A109,Input_Raw!$A:$A,Input_Raw!$CZ:$CZ),"")</f>
        <v>0.73202464999999994</v>
      </c>
      <c r="K109" s="190">
        <f>IFERROR(_xlfn.XLOOKUP($A109,Input_Raw!$A:$A,Input_Raw!$DB:$DB),"")</f>
        <v>27.895973154362398</v>
      </c>
      <c r="L109" s="190">
        <f>IFERROR(_xlfn.XLOOKUP($A109,Input_Raw!$A:$A,Input_Raw!$DC:$DC),"")</f>
        <v>40.008338926174552</v>
      </c>
      <c r="M109" s="189">
        <f>IFERROR(_xlfn.XLOOKUP($A109,Input_Raw!$A:$A,Input_Raw!$DF:$DF),"")</f>
        <v>1.4151845637583889</v>
      </c>
      <c r="N109" s="189">
        <f>IFERROR(_xlfn.XLOOKUP($A109,Input_Raw!$A:$A,Input_Raw!$DG:$DG),"")</f>
        <v>3.1124999999999998</v>
      </c>
      <c r="O109" s="219">
        <f>IFERROR(1-(SUMIF(Plant_BD!$B:$B,$A109,Plant_BD!$AL:$AL)/($AA109+SUMIF(Plant_BD!$B:$B,$A109,Plant_BD!$AL:$AL))),"")</f>
        <v>1</v>
      </c>
      <c r="P109" s="219"/>
      <c r="Q109" s="220">
        <f>IFERROR(1-(SUMIF(Grid_BD!$B:$B,$A109,Grid_BD!$V:$V)/($AA109+SUMIF(Grid_BD!$B:$B,$A109,Grid_BD!$V:$V))),"")</f>
        <v>1</v>
      </c>
      <c r="R109" s="219">
        <f>IFERROR(1-(SUMIF(Grid_BD!$B:$B,$A109,Grid_BD!$V:$V)/($AA109+SUMIF(Grid_BD!$B:$B,$A109,Grid_BD!$V:$V))),"")</f>
        <v>1</v>
      </c>
      <c r="S109" s="9"/>
      <c r="T109" s="220"/>
      <c r="U109" s="221">
        <f t="shared" si="11"/>
        <v>0.83192168798666155</v>
      </c>
      <c r="V109" s="221" t="str">
        <f>IFERROR(_xlfn.XLOOKUP($A109,Input_Raw!$A:$A,Input_Raw!$FG:$FG),"")</f>
        <v/>
      </c>
      <c r="W109" s="222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78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22">
        <f>IFERROR(_xlfn.XLOOKUP($D109,'Modelling New'!$D:$D,'Modelling New'!O:O),"")</f>
        <v>0.85307603301688106</v>
      </c>
      <c r="AF109" s="222">
        <f>IFERROR(_xlfn.XLOOKUP($D109,'Modelling New'!$D:$D,'Modelling New'!W:W),"")</f>
        <v>0.13495571113721361</v>
      </c>
      <c r="AG109" s="222">
        <f>IFERROR(_xlfn.XLOOKUP($D109,'Modelling New'!$D:$D,'Modelling New'!AE:AE),"")</f>
        <v>0.995</v>
      </c>
      <c r="AH109" s="222">
        <f>IFERROR(_xlfn.XLOOKUP($D109,'Modelling New'!$D:$D,'Modelling New'!AF:AF),"")</f>
        <v>0.995</v>
      </c>
      <c r="AI109" s="9"/>
      <c r="AJ109" s="9"/>
      <c r="AK109" s="245"/>
      <c r="AL109" s="245"/>
      <c r="AM109" s="245"/>
      <c r="AN109" s="219"/>
      <c r="AO109" s="222"/>
      <c r="AP109" s="222"/>
      <c r="AQ109" s="222"/>
      <c r="AR109" s="223">
        <f>_xlfn.XLOOKUP(D109,'Modelling New'!$D:$D,'Modelling New'!$N:$N)</f>
        <v>130</v>
      </c>
      <c r="AS109" s="223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18">
        <f>Table13[[#This Row],[Date]]-DAY(Table13[[#This Row],[Date]])+1</f>
        <v>45839</v>
      </c>
      <c r="E110" s="9">
        <f t="shared" si="10"/>
        <v>31</v>
      </c>
      <c r="F110" s="188">
        <f>IFERROR(_xlfn.XLOOKUP($A110,Input_Raw!$A:$A,Input_Raw!$FC:$FC),"")</f>
        <v>12.816666666666666</v>
      </c>
      <c r="G110" s="189">
        <f>IFERROR(_xlfn.XLOOKUP($A110,Input_Raw!$A:$A,Input_Raw!$CY:$CY),"")</f>
        <v>5.5642944250000017</v>
      </c>
      <c r="H110" s="189">
        <f>IFERROR(_xlfn.XLOOKUP($A110,Input_Raw!$A:$A,Input_Raw!$DA:$DA),"")</f>
        <v>0.94995153333333326</v>
      </c>
      <c r="I110" s="189">
        <f>IFERROR(_xlfn.XLOOKUP($A110,Input_Raw!$A:$A,Input_Raw!$CX:$CX),"")</f>
        <v>5.543701066666662</v>
      </c>
      <c r="J110" s="189">
        <f>IFERROR(_xlfn.XLOOKUP($A110,Input_Raw!$A:$A,Input_Raw!$CZ:$CZ),"")</f>
        <v>0.78964312500000022</v>
      </c>
      <c r="K110" s="190">
        <f>IFERROR(_xlfn.XLOOKUP($A110,Input_Raw!$A:$A,Input_Raw!$DB:$DB),"")</f>
        <v>28.473585304054069</v>
      </c>
      <c r="L110" s="190">
        <f>IFERROR(_xlfn.XLOOKUP($A110,Input_Raw!$A:$A,Input_Raw!$DC:$DC),"")</f>
        <v>41.32022804054052</v>
      </c>
      <c r="M110" s="189">
        <f>IFERROR(_xlfn.XLOOKUP($A110,Input_Raw!$A:$A,Input_Raw!$DF:$DF),"")</f>
        <v>1.1897141047297306</v>
      </c>
      <c r="N110" s="189">
        <f>IFERROR(_xlfn.XLOOKUP($A110,Input_Raw!$A:$A,Input_Raw!$DG:$DG),"")</f>
        <v>2.9295</v>
      </c>
      <c r="O110" s="219">
        <f>IFERROR(1-(SUMIF(Plant_BD!$B:$B,$A110,Plant_BD!$AL:$AL)/($AA110+SUMIF(Plant_BD!$B:$B,$A110,Plant_BD!$AL:$AL))),"")</f>
        <v>1</v>
      </c>
      <c r="P110" s="219"/>
      <c r="Q110" s="220">
        <f>IFERROR(1-(SUMIF(Grid_BD!$B:$B,$A110,Grid_BD!$V:$V)/($AA110+SUMIF(Grid_BD!$B:$B,$A110,Grid_BD!$V:$V))),"")</f>
        <v>1</v>
      </c>
      <c r="R110" s="219">
        <f>IFERROR(1-(SUMIF(Grid_BD!$B:$B,$A110,Grid_BD!$V:$V)/($AA110+SUMIF(Grid_BD!$B:$B,$A110,Grid_BD!$V:$V))),"")</f>
        <v>1</v>
      </c>
      <c r="S110" s="9"/>
      <c r="T110" s="220"/>
      <c r="U110" s="221">
        <f t="shared" si="11"/>
        <v>0.83769128247875968</v>
      </c>
      <c r="V110" s="221" t="str">
        <f>IFERROR(_xlfn.XLOOKUP($A110,Input_Raw!$A:$A,Input_Raw!$FG:$FG),"")</f>
        <v/>
      </c>
      <c r="W110" s="222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78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22">
        <f>IFERROR(_xlfn.XLOOKUP($D110,'Modelling New'!$D:$D,'Modelling New'!O:O),"")</f>
        <v>0.85307603301688106</v>
      </c>
      <c r="AF110" s="222">
        <f>IFERROR(_xlfn.XLOOKUP($D110,'Modelling New'!$D:$D,'Modelling New'!W:W),"")</f>
        <v>0.13495571113721361</v>
      </c>
      <c r="AG110" s="222">
        <f>IFERROR(_xlfn.XLOOKUP($D110,'Modelling New'!$D:$D,'Modelling New'!AE:AE),"")</f>
        <v>0.995</v>
      </c>
      <c r="AH110" s="222">
        <f>IFERROR(_xlfn.XLOOKUP($D110,'Modelling New'!$D:$D,'Modelling New'!AF:AF),"")</f>
        <v>0.995</v>
      </c>
      <c r="AI110" s="9"/>
      <c r="AJ110" s="9"/>
      <c r="AK110" s="245"/>
      <c r="AL110" s="245"/>
      <c r="AM110" s="245"/>
      <c r="AN110" s="219"/>
      <c r="AO110" s="222"/>
      <c r="AP110" s="222"/>
      <c r="AQ110" s="222"/>
      <c r="AR110" s="223">
        <f>_xlfn.XLOOKUP(D110,'Modelling New'!$D:$D,'Modelling New'!$N:$N)</f>
        <v>130</v>
      </c>
      <c r="AS110" s="223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18">
        <f>Table13[[#This Row],[Date]]-DAY(Table13[[#This Row],[Date]])+1</f>
        <v>45839</v>
      </c>
      <c r="E111" s="9">
        <f t="shared" si="10"/>
        <v>31</v>
      </c>
      <c r="F111" s="188">
        <f>IFERROR(_xlfn.XLOOKUP($A111,Input_Raw!$A:$A,Input_Raw!$FC:$FC),"")</f>
        <v>12.533333333333331</v>
      </c>
      <c r="G111" s="178">
        <f>IFERROR(_xlfn.XLOOKUP($A111,Input_Raw!$A:$A,Input_Raw!$CY:$CY),"")</f>
        <v>4.9864511750000045</v>
      </c>
      <c r="H111" s="178">
        <f>IFERROR(_xlfn.XLOOKUP($A111,Input_Raw!$A:$A,Input_Raw!$DA:$DA),"")</f>
        <v>0.86416732500000026</v>
      </c>
      <c r="I111" s="178">
        <f>IFERROR(_xlfn.XLOOKUP($A111,Input_Raw!$A:$A,Input_Raw!$CX:$CX),"")</f>
        <v>5.1267954916733327</v>
      </c>
      <c r="J111" s="178">
        <f>IFERROR(_xlfn.XLOOKUP($A111,Input_Raw!$A:$A,Input_Raw!$CZ:$CZ),"")</f>
        <v>0.68635593333333333</v>
      </c>
      <c r="K111" s="190">
        <f>IFERROR(_xlfn.XLOOKUP($A111,Input_Raw!$A:$A,Input_Raw!$DB:$DB),"")</f>
        <v>28.115282292557769</v>
      </c>
      <c r="L111" s="190">
        <f>IFERROR(_xlfn.XLOOKUP($A111,Input_Raw!$A:$A,Input_Raw!$DC:$DC),"")</f>
        <v>40.506878956372951</v>
      </c>
      <c r="M111" s="189">
        <f>IFERROR(_xlfn.XLOOKUP($A111,Input_Raw!$A:$A,Input_Raw!$DF:$DF),"")</f>
        <v>1.2777228400342171</v>
      </c>
      <c r="N111" s="189">
        <f>IFERROR(_xlfn.XLOOKUP($A111,Input_Raw!$A:$A,Input_Raw!$DG:$DG),"")</f>
        <v>3.2984999999999998</v>
      </c>
      <c r="O111" s="219">
        <f>IFERROR(1-(SUMIF(Plant_BD!$B:$B,$A111,Plant_BD!$AL:$AL)/($AA111+SUMIF(Plant_BD!$B:$B,$A111,Plant_BD!$AL:$AL))),"")</f>
        <v>1</v>
      </c>
      <c r="P111" s="219"/>
      <c r="Q111" s="220">
        <f>IFERROR(1-(SUMIF(Grid_BD!$B:$B,$A111,Grid_BD!$V:$V)/($AA111+SUMIF(Grid_BD!$B:$B,$A111,Grid_BD!$V:$V))),"")</f>
        <v>1</v>
      </c>
      <c r="R111" s="219">
        <f>IFERROR(1-(SUMIF(Grid_BD!$B:$B,$A111,Grid_BD!$V:$V)/($AA111+SUMIF(Grid_BD!$B:$B,$A111,Grid_BD!$V:$V))),"")</f>
        <v>1</v>
      </c>
      <c r="S111" s="9"/>
      <c r="T111" s="220"/>
      <c r="U111" s="221">
        <f t="shared" si="11"/>
        <v>0.86666671078463886</v>
      </c>
      <c r="V111" s="221" t="str">
        <f>IFERROR(_xlfn.XLOOKUP($A111,Input_Raw!$A:$A,Input_Raw!$FG:$FG),"")</f>
        <v/>
      </c>
      <c r="W111" s="222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78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22">
        <f>IFERROR(_xlfn.XLOOKUP($D111,'Modelling New'!$D:$D,'Modelling New'!O:O),"")</f>
        <v>0.85307603301688106</v>
      </c>
      <c r="AF111" s="222">
        <f>IFERROR(_xlfn.XLOOKUP($D111,'Modelling New'!$D:$D,'Modelling New'!W:W),"")</f>
        <v>0.13495571113721361</v>
      </c>
      <c r="AG111" s="222">
        <f>IFERROR(_xlfn.XLOOKUP($D111,'Modelling New'!$D:$D,'Modelling New'!AE:AE),"")</f>
        <v>0.995</v>
      </c>
      <c r="AH111" s="222">
        <f>IFERROR(_xlfn.XLOOKUP($D111,'Modelling New'!$D:$D,'Modelling New'!AF:AF),"")</f>
        <v>0.995</v>
      </c>
      <c r="AI111" s="9"/>
      <c r="AJ111" s="9"/>
      <c r="AK111" s="245"/>
      <c r="AL111" s="245"/>
      <c r="AM111" s="245"/>
      <c r="AN111" s="219"/>
      <c r="AO111" s="222"/>
      <c r="AP111" s="222"/>
      <c r="AQ111" s="222"/>
      <c r="AR111" s="223">
        <f>_xlfn.XLOOKUP(D111,'Modelling New'!$D:$D,'Modelling New'!$N:$N)</f>
        <v>130</v>
      </c>
      <c r="AS111" s="223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18">
        <f>Table13[[#This Row],[Date]]-DAY(Table13[[#This Row],[Date]])+1</f>
        <v>45839</v>
      </c>
      <c r="E112" s="9">
        <f t="shared" si="10"/>
        <v>31</v>
      </c>
      <c r="F112" s="188">
        <f>IFERROR(_xlfn.XLOOKUP($A112,Input_Raw!$A:$A,Input_Raw!$FC:$FC),"")</f>
        <v>12.499999999999998</v>
      </c>
      <c r="G112" s="189">
        <f>IFERROR(_xlfn.XLOOKUP($A112,Input_Raw!$A:$A,Input_Raw!$CY:$CY),"")</f>
        <v>4.4733486083333336</v>
      </c>
      <c r="H112" s="189">
        <f>IFERROR(_xlfn.XLOOKUP($A112,Input_Raw!$A:$A,Input_Raw!$DA:$DA),"")</f>
        <v>0.7906100749999998</v>
      </c>
      <c r="I112" s="189">
        <f>IFERROR(_xlfn.XLOOKUP($A112,Input_Raw!$A:$A,Input_Raw!$CX:$CX),"")</f>
        <v>4.9960676583333399</v>
      </c>
      <c r="J112" s="189">
        <f>IFERROR(_xlfn.XLOOKUP($A112,Input_Raw!$A:$A,Input_Raw!$CZ:$CZ),"")</f>
        <v>0.65088344166666623</v>
      </c>
      <c r="K112" s="190">
        <f>IFERROR(_xlfn.XLOOKUP($A112,Input_Raw!$A:$A,Input_Raw!$DB:$DB),"")</f>
        <v>28.266057529610872</v>
      </c>
      <c r="L112" s="190">
        <f>IFERROR(_xlfn.XLOOKUP($A112,Input_Raw!$A:$A,Input_Raw!$DC:$DC),"")</f>
        <v>39.616384094754721</v>
      </c>
      <c r="M112" s="189">
        <f>IFERROR(_xlfn.XLOOKUP($A112,Input_Raw!$A:$A,Input_Raw!$DF:$DF),"")</f>
        <v>1.2535164974619284</v>
      </c>
      <c r="N112" s="189">
        <f>IFERROR(_xlfn.XLOOKUP($A112,Input_Raw!$A:$A,Input_Raw!$DG:$DG),"")</f>
        <v>2.7404999999999999</v>
      </c>
      <c r="O112" s="219">
        <f>IFERROR(1-(SUMIF(Plant_BD!$B:$B,$A112,Plant_BD!$AL:$AL)/($AA112+SUMIF(Plant_BD!$B:$B,$A112,Plant_BD!$AL:$AL))),"")</f>
        <v>1</v>
      </c>
      <c r="P112" s="219"/>
      <c r="Q112" s="220">
        <f>IFERROR(1-(SUMIF(Grid_BD!$B:$B,$A112,Grid_BD!$V:$V)/($AA112+SUMIF(Grid_BD!$B:$B,$A112,Grid_BD!$V:$V))),"")</f>
        <v>1</v>
      </c>
      <c r="R112" s="219">
        <f>IFERROR(1-(SUMIF(Grid_BD!$B:$B,$A112,Grid_BD!$V:$V)/($AA112+SUMIF(Grid_BD!$B:$B,$A112,Grid_BD!$V:$V))),"")</f>
        <v>1</v>
      </c>
      <c r="S112" s="9"/>
      <c r="T112" s="220"/>
      <c r="U112" s="221">
        <f t="shared" si="11"/>
        <v>0.85648871680639738</v>
      </c>
      <c r="V112" s="221" t="str">
        <f>IFERROR(_xlfn.XLOOKUP($A112,Input_Raw!$A:$A,Input_Raw!$FG:$FG),"")</f>
        <v/>
      </c>
      <c r="W112" s="222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78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22">
        <f>IFERROR(_xlfn.XLOOKUP($D112,'Modelling New'!$D:$D,'Modelling New'!O:O),"")</f>
        <v>0.85307603301688106</v>
      </c>
      <c r="AF112" s="222">
        <f>IFERROR(_xlfn.XLOOKUP($D112,'Modelling New'!$D:$D,'Modelling New'!W:W),"")</f>
        <v>0.13495571113721361</v>
      </c>
      <c r="AG112" s="222">
        <f>IFERROR(_xlfn.XLOOKUP($D112,'Modelling New'!$D:$D,'Modelling New'!AE:AE),"")</f>
        <v>0.995</v>
      </c>
      <c r="AH112" s="222">
        <f>IFERROR(_xlfn.XLOOKUP($D112,'Modelling New'!$D:$D,'Modelling New'!AF:AF),"")</f>
        <v>0.995</v>
      </c>
      <c r="AI112" s="9"/>
      <c r="AJ112" s="9"/>
      <c r="AK112" s="245"/>
      <c r="AL112" s="245"/>
      <c r="AM112" s="245"/>
      <c r="AN112" s="219"/>
      <c r="AO112" s="222"/>
      <c r="AP112" s="222"/>
      <c r="AQ112" s="222"/>
      <c r="AR112" s="223">
        <f>_xlfn.XLOOKUP(D112,'Modelling New'!$D:$D,'Modelling New'!$N:$N)</f>
        <v>130</v>
      </c>
      <c r="AS112" s="223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18">
        <f>Table13[[#This Row],[Date]]-DAY(Table13[[#This Row],[Date]])+1</f>
        <v>45839</v>
      </c>
      <c r="E113" s="9">
        <f t="shared" si="10"/>
        <v>31</v>
      </c>
      <c r="F113" s="188">
        <f>IFERROR(_xlfn.XLOOKUP($A113,Input_Raw!$A:$A,Input_Raw!$FC:$FC),"")</f>
        <v>12.466666666666665</v>
      </c>
      <c r="G113" s="178">
        <f>IFERROR(_xlfn.XLOOKUP($A113,Input_Raw!$A:$A,Input_Raw!$CY:$CY),"")</f>
        <v>3.485098441666667</v>
      </c>
      <c r="H113" s="178">
        <f>IFERROR(_xlfn.XLOOKUP($A113,Input_Raw!$A:$A,Input_Raw!$DA:$DA),"")</f>
        <v>0.62181480833333391</v>
      </c>
      <c r="I113" s="178">
        <f>IFERROR(_xlfn.XLOOKUP($A113,Input_Raw!$A:$A,Input_Raw!$CX:$CX),"")</f>
        <v>3.8003528833333364</v>
      </c>
      <c r="J113" s="178">
        <f>IFERROR(_xlfn.XLOOKUP($A113,Input_Raw!$A:$A,Input_Raw!$CZ:$CZ),"")</f>
        <v>0.51057937499999995</v>
      </c>
      <c r="K113" s="190">
        <f>IFERROR(_xlfn.XLOOKUP($A113,Input_Raw!$A:$A,Input_Raw!$DB:$DB),"")</f>
        <v>28.14893754760098</v>
      </c>
      <c r="L113" s="190">
        <f>IFERROR(_xlfn.XLOOKUP($A113,Input_Raw!$A:$A,Input_Raw!$DC:$DC),"")</f>
        <v>37.887757425742564</v>
      </c>
      <c r="M113" s="189">
        <f>IFERROR(_xlfn.XLOOKUP($A113,Input_Raw!$A:$A,Input_Raw!$DF:$DF),"")</f>
        <v>0.90989565879664891</v>
      </c>
      <c r="N113" s="189">
        <f>IFERROR(_xlfn.XLOOKUP($A113,Input_Raw!$A:$A,Input_Raw!$DG:$DG),"")</f>
        <v>2.0910000000000002</v>
      </c>
      <c r="O113" s="219">
        <f>IFERROR(1-(SUMIF(Plant_BD!$B:$B,$A113,Plant_BD!$AL:$AL)/($AA113+SUMIF(Plant_BD!$B:$B,$A113,Plant_BD!$AL:$AL))),"")</f>
        <v>1</v>
      </c>
      <c r="P113" s="219"/>
      <c r="Q113" s="220">
        <f>IFERROR(1-(SUMIF(Grid_BD!$B:$B,$A113,Grid_BD!$V:$V)/($AA113+SUMIF(Grid_BD!$B:$B,$A113,Grid_BD!$V:$V))),"")</f>
        <v>1</v>
      </c>
      <c r="R113" s="219">
        <f>IFERROR(1-(SUMIF(Grid_BD!$B:$B,$A113,Grid_BD!$V:$V)/($AA113+SUMIF(Grid_BD!$B:$B,$A113,Grid_BD!$V:$V))),"")</f>
        <v>1</v>
      </c>
      <c r="S113" s="9"/>
      <c r="T113" s="220"/>
      <c r="U113" s="221">
        <f t="shared" si="11"/>
        <v>0.83796748359268125</v>
      </c>
      <c r="V113" s="221" t="str">
        <f>IFERROR(_xlfn.XLOOKUP($A113,Input_Raw!$A:$A,Input_Raw!$FG:$FG),"")</f>
        <v/>
      </c>
      <c r="W113" s="222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78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22">
        <f>IFERROR(_xlfn.XLOOKUP($D113,'Modelling New'!$D:$D,'Modelling New'!O:O),"")</f>
        <v>0.85307603301688106</v>
      </c>
      <c r="AF113" s="222">
        <f>IFERROR(_xlfn.XLOOKUP($D113,'Modelling New'!$D:$D,'Modelling New'!W:W),"")</f>
        <v>0.13495571113721361</v>
      </c>
      <c r="AG113" s="222">
        <f>IFERROR(_xlfn.XLOOKUP($D113,'Modelling New'!$D:$D,'Modelling New'!AE:AE),"")</f>
        <v>0.995</v>
      </c>
      <c r="AH113" s="222">
        <f>IFERROR(_xlfn.XLOOKUP($D113,'Modelling New'!$D:$D,'Modelling New'!AF:AF),"")</f>
        <v>0.995</v>
      </c>
      <c r="AI113" s="9"/>
      <c r="AJ113" s="9"/>
      <c r="AK113" s="245"/>
      <c r="AL113" s="245"/>
      <c r="AM113" s="245"/>
      <c r="AN113" s="219"/>
      <c r="AO113" s="222"/>
      <c r="AP113" s="222"/>
      <c r="AQ113" s="222"/>
      <c r="AR113" s="223">
        <f>_xlfn.XLOOKUP(D113,'Modelling New'!$D:$D,'Modelling New'!$N:$N)</f>
        <v>130</v>
      </c>
      <c r="AS113" s="223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18">
        <f>Table13[[#This Row],[Date]]-DAY(Table13[[#This Row],[Date]])+1</f>
        <v>45839</v>
      </c>
      <c r="E114" s="9">
        <f t="shared" si="10"/>
        <v>31</v>
      </c>
      <c r="F114" s="188">
        <f>IFERROR(_xlfn.XLOOKUP($A114,Input_Raw!$A:$A,Input_Raw!$FC:$FC),"")</f>
        <v>12.65</v>
      </c>
      <c r="G114" s="189">
        <f>IFERROR(_xlfn.XLOOKUP($A114,Input_Raw!$A:$A,Input_Raw!$CY:$CY),"")</f>
        <v>5.7807779749999977</v>
      </c>
      <c r="H114" s="189">
        <f>IFERROR(_xlfn.XLOOKUP($A114,Input_Raw!$A:$A,Input_Raw!$DA:$DA),"")</f>
        <v>1.0356066749999995</v>
      </c>
      <c r="I114" s="189">
        <f>IFERROR(_xlfn.XLOOKUP($A114,Input_Raw!$A:$A,Input_Raw!$CX:$CX),"")</f>
        <v>5.7619915083333506</v>
      </c>
      <c r="J114" s="189">
        <f>IFERROR(_xlfn.XLOOKUP($A114,Input_Raw!$A:$A,Input_Raw!$CZ:$CZ),"")</f>
        <v>0.84647876666666633</v>
      </c>
      <c r="K114" s="190">
        <f>IFERROR(_xlfn.XLOOKUP($A114,Input_Raw!$A:$A,Input_Raw!$DB:$DB),"")</f>
        <v>28.644102468212417</v>
      </c>
      <c r="L114" s="190">
        <f>IFERROR(_xlfn.XLOOKUP($A114,Input_Raw!$A:$A,Input_Raw!$DC:$DC),"")</f>
        <v>41.246784966342574</v>
      </c>
      <c r="M114" s="189">
        <f>IFERROR(_xlfn.XLOOKUP($A114,Input_Raw!$A:$A,Input_Raw!$DF:$DF),"")</f>
        <v>0.8837726252804774</v>
      </c>
      <c r="N114" s="189">
        <f>IFERROR(_xlfn.XLOOKUP($A114,Input_Raw!$A:$A,Input_Raw!$DG:$DG),"")</f>
        <v>2.3369999999999997</v>
      </c>
      <c r="O114" s="219">
        <f>IFERROR(1-(SUMIF(Plant_BD!$B:$B,$A114,Plant_BD!$AL:$AL)/($AA114+SUMIF(Plant_BD!$B:$B,$A114,Plant_BD!$AL:$AL))),"")</f>
        <v>1</v>
      </c>
      <c r="P114" s="219"/>
      <c r="Q114" s="220">
        <f>IFERROR(1-(SUMIF(Grid_BD!$B:$B,$A114,Grid_BD!$V:$V)/($AA114+SUMIF(Grid_BD!$B:$B,$A114,Grid_BD!$V:$V))),"")</f>
        <v>1</v>
      </c>
      <c r="R114" s="219">
        <f>IFERROR(1-(SUMIF(Grid_BD!$B:$B,$A114,Grid_BD!$V:$V)/($AA114+SUMIF(Grid_BD!$B:$B,$A114,Grid_BD!$V:$V))),"")</f>
        <v>1</v>
      </c>
      <c r="S114" s="9"/>
      <c r="T114" s="220"/>
      <c r="U114" s="221">
        <f t="shared" si="11"/>
        <v>0.84937060416375343</v>
      </c>
      <c r="V114" s="221" t="str">
        <f>IFERROR(_xlfn.XLOOKUP($A114,Input_Raw!$A:$A,Input_Raw!$FG:$FG),"")</f>
        <v/>
      </c>
      <c r="W114" s="222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78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22">
        <f>IFERROR(_xlfn.XLOOKUP($D114,'Modelling New'!$D:$D,'Modelling New'!O:O),"")</f>
        <v>0.85307603301688106</v>
      </c>
      <c r="AF114" s="222">
        <f>IFERROR(_xlfn.XLOOKUP($D114,'Modelling New'!$D:$D,'Modelling New'!W:W),"")</f>
        <v>0.13495571113721361</v>
      </c>
      <c r="AG114" s="222">
        <f>IFERROR(_xlfn.XLOOKUP($D114,'Modelling New'!$D:$D,'Modelling New'!AE:AE),"")</f>
        <v>0.995</v>
      </c>
      <c r="AH114" s="222">
        <f>IFERROR(_xlfn.XLOOKUP($D114,'Modelling New'!$D:$D,'Modelling New'!AF:AF),"")</f>
        <v>0.995</v>
      </c>
      <c r="AI114" s="9"/>
      <c r="AJ114" s="9"/>
      <c r="AK114" s="245"/>
      <c r="AL114" s="245"/>
      <c r="AM114" s="245"/>
      <c r="AN114" s="219"/>
      <c r="AO114" s="222"/>
      <c r="AP114" s="222"/>
      <c r="AQ114" s="222"/>
      <c r="AR114" s="223">
        <f>_xlfn.XLOOKUP(D114,'Modelling New'!$D:$D,'Modelling New'!$N:$N)</f>
        <v>130</v>
      </c>
      <c r="AS114" s="223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18">
        <f>Table13[[#This Row],[Date]]-DAY(Table13[[#This Row],[Date]])+1</f>
        <v>45839</v>
      </c>
      <c r="E115" s="9">
        <f t="shared" si="10"/>
        <v>31</v>
      </c>
      <c r="F115" s="188">
        <f>IFERROR(_xlfn.XLOOKUP($A115,Input_Raw!$A:$A,Input_Raw!$FC:$FC),"")</f>
        <v>12.483333333333334</v>
      </c>
      <c r="G115" s="178">
        <f>IFERROR(_xlfn.XLOOKUP($A115,Input_Raw!$A:$A,Input_Raw!$CY:$CY),"")</f>
        <v>6.0952217916666687</v>
      </c>
      <c r="H115" s="178">
        <f>IFERROR(_xlfn.XLOOKUP($A115,Input_Raw!$A:$A,Input_Raw!$DA:$DA),"")</f>
        <v>1.0925290416666664</v>
      </c>
      <c r="I115" s="178">
        <f>IFERROR(_xlfn.XLOOKUP($A115,Input_Raw!$A:$A,Input_Raw!$CX:$CX),"")</f>
        <v>6.117788424999997</v>
      </c>
      <c r="J115" s="178">
        <f>IFERROR(_xlfn.XLOOKUP($A115,Input_Raw!$A:$A,Input_Raw!$CZ:$CZ),"")</f>
        <v>0.88302578333333304</v>
      </c>
      <c r="K115" s="190">
        <f>IFERROR(_xlfn.XLOOKUP($A115,Input_Raw!$A:$A,Input_Raw!$DB:$DB),"")</f>
        <v>28.77987825356842</v>
      </c>
      <c r="L115" s="190">
        <f>IFERROR(_xlfn.XLOOKUP($A115,Input_Raw!$A:$A,Input_Raw!$DC:$DC),"")</f>
        <v>42.880911418975671</v>
      </c>
      <c r="M115" s="189">
        <f>IFERROR(_xlfn.XLOOKUP($A115,Input_Raw!$A:$A,Input_Raw!$DF:$DF),"")</f>
        <v>0.88360579345088253</v>
      </c>
      <c r="N115" s="189">
        <f>IFERROR(_xlfn.XLOOKUP($A115,Input_Raw!$A:$A,Input_Raw!$DG:$DG),"")</f>
        <v>2.2770000000000001</v>
      </c>
      <c r="O115" s="219">
        <f>IFERROR(1-(SUMIF(Plant_BD!$B:$B,$A115,Plant_BD!$AL:$AL)/($AA115+SUMIF(Plant_BD!$B:$B,$A115,Plant_BD!$AL:$AL))),"")</f>
        <v>1</v>
      </c>
      <c r="P115" s="219"/>
      <c r="Q115" s="220">
        <f>IFERROR(1-(SUMIF(Grid_BD!$B:$B,$A115,Grid_BD!$V:$V)/($AA115+SUMIF(Grid_BD!$B:$B,$A115,Grid_BD!$V:$V))),"")</f>
        <v>1</v>
      </c>
      <c r="R115" s="219">
        <f>IFERROR(1-(SUMIF(Grid_BD!$B:$B,$A115,Grid_BD!$V:$V)/($AA115+SUMIF(Grid_BD!$B:$B,$A115,Grid_BD!$V:$V))),"")</f>
        <v>1</v>
      </c>
      <c r="S115" s="9"/>
      <c r="T115" s="220"/>
      <c r="U115" s="221">
        <f t="shared" si="11"/>
        <v>0.84959238900910139</v>
      </c>
      <c r="V115" s="221" t="str">
        <f>IFERROR(_xlfn.XLOOKUP($A115,Input_Raw!$A:$A,Input_Raw!$FG:$FG),"")</f>
        <v/>
      </c>
      <c r="W115" s="222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78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22">
        <f>IFERROR(_xlfn.XLOOKUP($D115,'Modelling New'!$D:$D,'Modelling New'!O:O),"")</f>
        <v>0.85307603301688106</v>
      </c>
      <c r="AF115" s="222">
        <f>IFERROR(_xlfn.XLOOKUP($D115,'Modelling New'!$D:$D,'Modelling New'!W:W),"")</f>
        <v>0.13495571113721361</v>
      </c>
      <c r="AG115" s="222">
        <f>IFERROR(_xlfn.XLOOKUP($D115,'Modelling New'!$D:$D,'Modelling New'!AE:AE),"")</f>
        <v>0.995</v>
      </c>
      <c r="AH115" s="222">
        <f>IFERROR(_xlfn.XLOOKUP($D115,'Modelling New'!$D:$D,'Modelling New'!AF:AF),"")</f>
        <v>0.995</v>
      </c>
      <c r="AI115" s="9"/>
      <c r="AJ115" s="9"/>
      <c r="AK115" s="245"/>
      <c r="AL115" s="245"/>
      <c r="AM115" s="245"/>
      <c r="AN115" s="219"/>
      <c r="AO115" s="222"/>
      <c r="AP115" s="222"/>
      <c r="AQ115" s="222"/>
      <c r="AR115" s="223">
        <f>_xlfn.XLOOKUP(D115,'Modelling New'!$D:$D,'Modelling New'!$N:$N)</f>
        <v>130</v>
      </c>
      <c r="AS115" s="223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18">
        <f>Table13[[#This Row],[Date]]-DAY(Table13[[#This Row],[Date]])+1</f>
        <v>45839</v>
      </c>
      <c r="E116" s="9">
        <f t="shared" si="10"/>
        <v>31</v>
      </c>
      <c r="F116" s="188">
        <f>IFERROR(_xlfn.XLOOKUP($A116,Input_Raw!$A:$A,Input_Raw!$FC:$FC),"")</f>
        <v>12.55</v>
      </c>
      <c r="G116" s="189">
        <f>IFERROR(_xlfn.XLOOKUP($A116,Input_Raw!$A:$A,Input_Raw!$CY:$CY),"")</f>
        <v>5.240109066666669</v>
      </c>
      <c r="H116" s="189">
        <f>IFERROR(_xlfn.XLOOKUP($A116,Input_Raw!$A:$A,Input_Raw!$DA:$DA),"")</f>
        <v>0.93227424166666695</v>
      </c>
      <c r="I116" s="189">
        <f>IFERROR(_xlfn.XLOOKUP($A116,Input_Raw!$A:$A,Input_Raw!$CX:$CX),"")</f>
        <v>5.3834142166663295</v>
      </c>
      <c r="J116" s="189">
        <f>IFERROR(_xlfn.XLOOKUP($A116,Input_Raw!$A:$A,Input_Raw!$CZ:$CZ),"")</f>
        <v>0.7575494083333334</v>
      </c>
      <c r="K116" s="190">
        <f>IFERROR(_xlfn.XLOOKUP($A116,Input_Raw!$A:$A,Input_Raw!$DB:$DB),"")</f>
        <v>29.109610445205462</v>
      </c>
      <c r="L116" s="190">
        <f>IFERROR(_xlfn.XLOOKUP($A116,Input_Raw!$A:$A,Input_Raw!$DC:$DC),"")</f>
        <v>42.632785530821913</v>
      </c>
      <c r="M116" s="189">
        <f>IFERROR(_xlfn.XLOOKUP($A116,Input_Raw!$A:$A,Input_Raw!$DF:$DF),"")</f>
        <v>1.1062885273972602</v>
      </c>
      <c r="N116" s="189">
        <f>IFERROR(_xlfn.XLOOKUP($A116,Input_Raw!$A:$A,Input_Raw!$DG:$DG),"")</f>
        <v>2.5230000000000001</v>
      </c>
      <c r="O116" s="219">
        <f>IFERROR(1-(SUMIF(Plant_BD!$B:$B,$A116,Plant_BD!$AL:$AL)/($AA116+SUMIF(Plant_BD!$B:$B,$A116,Plant_BD!$AL:$AL))),"")</f>
        <v>0.99971604594716923</v>
      </c>
      <c r="P116" s="219"/>
      <c r="Q116" s="220">
        <f>IFERROR(1-(SUMIF(Grid_BD!$B:$B,$A116,Grid_BD!$V:$V)/($AA116+SUMIF(Grid_BD!$B:$B,$A116,Grid_BD!$V:$V))),"")</f>
        <v>1</v>
      </c>
      <c r="R116" s="219">
        <f>IFERROR(1-(SUMIF(Grid_BD!$B:$B,$A116,Grid_BD!$V:$V)/($AA116+SUMIF(Grid_BD!$B:$B,$A116,Grid_BD!$V:$V))),"")</f>
        <v>1</v>
      </c>
      <c r="S116" s="9"/>
      <c r="T116" s="220"/>
      <c r="U116" s="221">
        <f t="shared" si="11"/>
        <v>0.80885536994964113</v>
      </c>
      <c r="V116" s="221" t="str">
        <f>IFERROR(_xlfn.XLOOKUP($A116,Input_Raw!$A:$A,Input_Raw!$FG:$FG),"")</f>
        <v/>
      </c>
      <c r="W116" s="222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78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22">
        <f>IFERROR(_xlfn.XLOOKUP($D116,'Modelling New'!$D:$D,'Modelling New'!O:O),"")</f>
        <v>0.85307603301688106</v>
      </c>
      <c r="AF116" s="222">
        <f>IFERROR(_xlfn.XLOOKUP($D116,'Modelling New'!$D:$D,'Modelling New'!W:W),"")</f>
        <v>0.13495571113721361</v>
      </c>
      <c r="AG116" s="222">
        <f>IFERROR(_xlfn.XLOOKUP($D116,'Modelling New'!$D:$D,'Modelling New'!AE:AE),"")</f>
        <v>0.995</v>
      </c>
      <c r="AH116" s="222">
        <f>IFERROR(_xlfn.XLOOKUP($D116,'Modelling New'!$D:$D,'Modelling New'!AF:AF),"")</f>
        <v>0.995</v>
      </c>
      <c r="AI116" s="9"/>
      <c r="AJ116" s="9"/>
      <c r="AK116" s="245"/>
      <c r="AL116" s="245"/>
      <c r="AM116" s="245"/>
      <c r="AN116" s="219"/>
      <c r="AO116" s="222"/>
      <c r="AP116" s="222"/>
      <c r="AQ116" s="222"/>
      <c r="AR116" s="223">
        <f>_xlfn.XLOOKUP(D116,'Modelling New'!$D:$D,'Modelling New'!$N:$N)</f>
        <v>130</v>
      </c>
      <c r="AS116" s="223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18">
        <f>Table13[[#This Row],[Date]]-DAY(Table13[[#This Row],[Date]])+1</f>
        <v>45839</v>
      </c>
      <c r="E117" s="9">
        <f t="shared" si="10"/>
        <v>31</v>
      </c>
      <c r="F117" s="188">
        <f>IFERROR(_xlfn.XLOOKUP($A117,Input_Raw!$A:$A,Input_Raw!$FC:$FC),"")</f>
        <v>12.166666666666666</v>
      </c>
      <c r="G117" s="178">
        <f>IFERROR(_xlfn.XLOOKUP($A117,Input_Raw!$A:$A,Input_Raw!$CY:$CY),"")</f>
        <v>3.8582091833333361</v>
      </c>
      <c r="H117" s="178">
        <f>IFERROR(_xlfn.XLOOKUP($A117,Input_Raw!$A:$A,Input_Raw!$DA:$DA),"")</f>
        <v>0.67039803333333303</v>
      </c>
      <c r="I117" s="178">
        <f>IFERROR(_xlfn.XLOOKUP($A117,Input_Raw!$A:$A,Input_Raw!$CX:$CX),"")</f>
        <v>4.3941890583333318</v>
      </c>
      <c r="J117" s="178">
        <f>IFERROR(_xlfn.XLOOKUP($A117,Input_Raw!$A:$A,Input_Raw!$CZ:$CZ),"")</f>
        <v>0.53911163333333301</v>
      </c>
      <c r="K117" s="190">
        <f>IFERROR(_xlfn.XLOOKUP($A117,Input_Raw!$A:$A,Input_Raw!$DB:$DB),"")</f>
        <v>28.185570175438592</v>
      </c>
      <c r="L117" s="190">
        <f>IFERROR(_xlfn.XLOOKUP($A117,Input_Raw!$A:$A,Input_Raw!$DC:$DC),"")</f>
        <v>39.233517105263175</v>
      </c>
      <c r="M117" s="189">
        <f>IFERROR(_xlfn.XLOOKUP($A117,Input_Raw!$A:$A,Input_Raw!$DF:$DF),"")</f>
        <v>1.3314921052631581</v>
      </c>
      <c r="N117" s="189">
        <f>IFERROR(_xlfn.XLOOKUP($A117,Input_Raw!$A:$A,Input_Raw!$DG:$DG),"")</f>
        <v>2.508</v>
      </c>
      <c r="O117" s="219">
        <f>IFERROR(1-(SUMIF(Plant_BD!$B:$B,$A117,Plant_BD!$AL:$AL)/($AA117+SUMIF(Plant_BD!$B:$B,$A117,Plant_BD!$AL:$AL))),"")</f>
        <v>0.97454058261212329</v>
      </c>
      <c r="P117" s="219"/>
      <c r="Q117" s="220">
        <f>IFERROR(1-(SUMIF(Grid_BD!$B:$B,$A117,Grid_BD!$V:$V)/($AA117+SUMIF(Grid_BD!$B:$B,$A117,Grid_BD!$V:$V))),"")</f>
        <v>1</v>
      </c>
      <c r="R117" s="219">
        <f>IFERROR(1-(SUMIF(Grid_BD!$B:$B,$A117,Grid_BD!$V:$V)/($AA117+SUMIF(Grid_BD!$B:$B,$A117,Grid_BD!$V:$V))),"")</f>
        <v>1</v>
      </c>
      <c r="S117" s="9"/>
      <c r="T117" s="220"/>
      <c r="U117" s="221">
        <f t="shared" si="11"/>
        <v>0.78161765464356492</v>
      </c>
      <c r="V117" s="221" t="str">
        <f>IFERROR(_xlfn.XLOOKUP($A117,Input_Raw!$A:$A,Input_Raw!$FG:$FG),"")</f>
        <v/>
      </c>
      <c r="W117" s="222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78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22">
        <f>IFERROR(_xlfn.XLOOKUP($D117,'Modelling New'!$D:$D,'Modelling New'!O:O),"")</f>
        <v>0.85307603301688106</v>
      </c>
      <c r="AF117" s="222">
        <f>IFERROR(_xlfn.XLOOKUP($D117,'Modelling New'!$D:$D,'Modelling New'!W:W),"")</f>
        <v>0.13495571113721361</v>
      </c>
      <c r="AG117" s="222">
        <f>IFERROR(_xlfn.XLOOKUP($D117,'Modelling New'!$D:$D,'Modelling New'!AE:AE),"")</f>
        <v>0.995</v>
      </c>
      <c r="AH117" s="222">
        <f>IFERROR(_xlfn.XLOOKUP($D117,'Modelling New'!$D:$D,'Modelling New'!AF:AF),"")</f>
        <v>0.995</v>
      </c>
      <c r="AI117" s="9"/>
      <c r="AJ117" s="9"/>
      <c r="AK117" s="245"/>
      <c r="AL117" s="245"/>
      <c r="AM117" s="245"/>
      <c r="AN117" s="219"/>
      <c r="AO117" s="222"/>
      <c r="AP117" s="222"/>
      <c r="AQ117" s="222"/>
      <c r="AR117" s="223">
        <f>_xlfn.XLOOKUP(D117,'Modelling New'!$D:$D,'Modelling New'!$N:$N)</f>
        <v>130</v>
      </c>
      <c r="AS117" s="223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18">
        <f>Table13[[#This Row],[Date]]-DAY(Table13[[#This Row],[Date]])+1</f>
        <v>45839</v>
      </c>
      <c r="E118" s="9">
        <f t="shared" si="10"/>
        <v>31</v>
      </c>
      <c r="F118" s="188">
        <f>IFERROR(_xlfn.XLOOKUP($A118,Input_Raw!$A:$A,Input_Raw!$FC:$FC),"")</f>
        <v>12.166666666666666</v>
      </c>
      <c r="G118" s="189">
        <f>IFERROR(_xlfn.XLOOKUP($A118,Input_Raw!$A:$A,Input_Raw!$CY:$CY),"")</f>
        <v>2.7850149666666684</v>
      </c>
      <c r="H118" s="189">
        <f>IFERROR(_xlfn.XLOOKUP($A118,Input_Raw!$A:$A,Input_Raw!$DA:$DA),"")</f>
        <v>0.49040050000000024</v>
      </c>
      <c r="I118" s="189">
        <f>IFERROR(_xlfn.XLOOKUP($A118,Input_Raw!$A:$A,Input_Raw!$CX:$CX),"")</f>
        <v>3.1388273083333327</v>
      </c>
      <c r="J118" s="189">
        <f>IFERROR(_xlfn.XLOOKUP($A118,Input_Raw!$A:$A,Input_Raw!$CZ:$CZ),"")</f>
        <v>0.40997852499999987</v>
      </c>
      <c r="K118" s="190">
        <f>IFERROR(_xlfn.XLOOKUP($A118,Input_Raw!$A:$A,Input_Raw!$DB:$DB),"")</f>
        <v>26.672075389948006</v>
      </c>
      <c r="L118" s="190">
        <f>IFERROR(_xlfn.XLOOKUP($A118,Input_Raw!$A:$A,Input_Raw!$DC:$DC),"")</f>
        <v>35.558547227036428</v>
      </c>
      <c r="M118" s="189">
        <f>IFERROR(_xlfn.XLOOKUP($A118,Input_Raw!$A:$A,Input_Raw!$DF:$DF),"")</f>
        <v>1.437909878682843</v>
      </c>
      <c r="N118" s="189">
        <f>IFERROR(_xlfn.XLOOKUP($A118,Input_Raw!$A:$A,Input_Raw!$DG:$DG),"")</f>
        <v>3.081</v>
      </c>
      <c r="O118" s="219">
        <f>IFERROR(1-(SUMIF(Plant_BD!$B:$B,$A118,Plant_BD!$AL:$AL)/($AA118+SUMIF(Plant_BD!$B:$B,$A118,Plant_BD!$AL:$AL))),"")</f>
        <v>0.99817775345062232</v>
      </c>
      <c r="P118" s="219"/>
      <c r="Q118" s="220">
        <f>IFERROR(1-(SUMIF(Grid_BD!$B:$B,$A118,Grid_BD!$V:$V)/($AA118+SUMIF(Grid_BD!$B:$B,$A118,Grid_BD!$V:$V))),"")</f>
        <v>1</v>
      </c>
      <c r="R118" s="219">
        <f>IFERROR(1-(SUMIF(Grid_BD!$B:$B,$A118,Grid_BD!$V:$V)/($AA118+SUMIF(Grid_BD!$B:$B,$A118,Grid_BD!$V:$V))),"")</f>
        <v>1</v>
      </c>
      <c r="S118" s="9"/>
      <c r="T118" s="220"/>
      <c r="U118" s="221">
        <f t="shared" si="11"/>
        <v>0.84484080062973299</v>
      </c>
      <c r="V118" s="221" t="str">
        <f>IFERROR(_xlfn.XLOOKUP($A118,Input_Raw!$A:$A,Input_Raw!$FG:$FG),"")</f>
        <v/>
      </c>
      <c r="W118" s="222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78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22">
        <f>IFERROR(_xlfn.XLOOKUP($D118,'Modelling New'!$D:$D,'Modelling New'!O:O),"")</f>
        <v>0.85307603301688106</v>
      </c>
      <c r="AF118" s="222">
        <f>IFERROR(_xlfn.XLOOKUP($D118,'Modelling New'!$D:$D,'Modelling New'!W:W),"")</f>
        <v>0.13495571113721361</v>
      </c>
      <c r="AG118" s="222">
        <f>IFERROR(_xlfn.XLOOKUP($D118,'Modelling New'!$D:$D,'Modelling New'!AE:AE),"")</f>
        <v>0.995</v>
      </c>
      <c r="AH118" s="222">
        <f>IFERROR(_xlfn.XLOOKUP($D118,'Modelling New'!$D:$D,'Modelling New'!AF:AF),"")</f>
        <v>0.995</v>
      </c>
      <c r="AI118" s="9"/>
      <c r="AJ118" s="9"/>
      <c r="AK118" s="245"/>
      <c r="AL118" s="245"/>
      <c r="AM118" s="245"/>
      <c r="AN118" s="219"/>
      <c r="AO118" s="222"/>
      <c r="AP118" s="222"/>
      <c r="AQ118" s="222"/>
      <c r="AR118" s="223">
        <f>_xlfn.XLOOKUP(D118,'Modelling New'!$D:$D,'Modelling New'!$N:$N)</f>
        <v>130</v>
      </c>
      <c r="AS118" s="223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18">
        <f>Table13[[#This Row],[Date]]-DAY(Table13[[#This Row],[Date]])+1</f>
        <v>45839</v>
      </c>
      <c r="E119" s="9">
        <f t="shared" si="10"/>
        <v>31</v>
      </c>
      <c r="F119" s="188">
        <f>IFERROR(_xlfn.XLOOKUP($A119,Input_Raw!$A:$A,Input_Raw!$FC:$FC),"")</f>
        <v>10.833333333333336</v>
      </c>
      <c r="G119" s="178">
        <f>IFERROR(_xlfn.XLOOKUP($A119,Input_Raw!$A:$A,Input_Raw!$CY:$CY),"")</f>
        <v>2.3836258249999993</v>
      </c>
      <c r="H119" s="178">
        <f>IFERROR(_xlfn.XLOOKUP($A119,Input_Raw!$A:$A,Input_Raw!$DA:$DA),"")</f>
        <v>0.41618316666666688</v>
      </c>
      <c r="I119" s="178">
        <f>IFERROR(_xlfn.XLOOKUP($A119,Input_Raw!$A:$A,Input_Raw!$CX:$CX),"")</f>
        <v>2.5707440499999974</v>
      </c>
      <c r="J119" s="178">
        <f>IFERROR(_xlfn.XLOOKUP($A119,Input_Raw!$A:$A,Input_Raw!$CZ:$CZ),"")</f>
        <v>0.33608125000000011</v>
      </c>
      <c r="K119" s="190">
        <f>IFERROR(_xlfn.XLOOKUP($A119,Input_Raw!$A:$A,Input_Raw!$DB:$DB),"")</f>
        <v>26.145863605197835</v>
      </c>
      <c r="L119" s="190">
        <f>IFERROR(_xlfn.XLOOKUP($A119,Input_Raw!$A:$A,Input_Raw!$DC:$DC),"")</f>
        <v>34.892600034282353</v>
      </c>
      <c r="M119" s="189">
        <f>IFERROR(_xlfn.XLOOKUP($A119,Input_Raw!$A:$A,Input_Raw!$DF:$DF),"")</f>
        <v>1.1542511509076672</v>
      </c>
      <c r="N119" s="189">
        <f>IFERROR(_xlfn.XLOOKUP($A119,Input_Raw!$A:$A,Input_Raw!$DG:$DG),"")</f>
        <v>2.8845000000000001</v>
      </c>
      <c r="O119" s="219">
        <f>IFERROR(1-(SUMIF(Plant_BD!$B:$B,$A119,Plant_BD!$AL:$AL)/($AA119+SUMIF(Plant_BD!$B:$B,$A119,Plant_BD!$AL:$AL))),"")</f>
        <v>0.99831097225886078</v>
      </c>
      <c r="P119" s="219"/>
      <c r="Q119" s="220">
        <f>IFERROR(1-(SUMIF(Grid_BD!$B:$B,$A119,Grid_BD!$V:$V)/($AA119+SUMIF(Grid_BD!$B:$B,$A119,Grid_BD!$V:$V))),"")</f>
        <v>1</v>
      </c>
      <c r="R119" s="219">
        <f>IFERROR(1-(SUMIF(Grid_BD!$B:$B,$A119,Grid_BD!$V:$V)/($AA119+SUMIF(Grid_BD!$B:$B,$A119,Grid_BD!$V:$V))),"")</f>
        <v>1</v>
      </c>
      <c r="S119" s="9"/>
      <c r="T119" s="220"/>
      <c r="U119" s="221">
        <f t="shared" si="11"/>
        <v>0.86420525724960728</v>
      </c>
      <c r="V119" s="221" t="str">
        <f>IFERROR(_xlfn.XLOOKUP($A119,Input_Raw!$A:$A,Input_Raw!$FG:$FG),"")</f>
        <v/>
      </c>
      <c r="W119" s="222">
        <f t="shared" si="12"/>
        <v>9.1892307692310382E-2</v>
      </c>
      <c r="X119" s="29">
        <f>IFERROR(_xlfn.XLOOKUP($A119,Input_Raw!$A:$A,Input_Raw!$DP:$DP),"")</f>
        <v>291692.7</v>
      </c>
      <c r="Y119" s="29">
        <f>IFERROR(_xlfn.XLOOKUP($A119,Input_Raw!$A:$A,Input_Raw!EW:EW),"")</f>
        <v>289944.00000000838</v>
      </c>
      <c r="Z119" s="29">
        <f>IFERROR(_xlfn.XLOOKUP($A119,Input_Raw!$A:$A,Input_Raw!EX:EX),"")</f>
        <v>3240</v>
      </c>
      <c r="AA119" s="29">
        <f>IFERROR(_xlfn.XLOOKUP($A119,Input_Raw!$A:$A,Input_Raw!FA:FA),"")</f>
        <v>286704.00000000838</v>
      </c>
      <c r="AB119" s="9">
        <f>IFERROR(_xlfn.XLOOKUP($A119,Input_Raw!$A:$A,Input_Raw!FD:FD),"")</f>
        <v>129.05000000000001</v>
      </c>
      <c r="AC119" s="178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22">
        <f>IFERROR(_xlfn.XLOOKUP($D119,'Modelling New'!$D:$D,'Modelling New'!O:O),"")</f>
        <v>0.85307603301688106</v>
      </c>
      <c r="AF119" s="222">
        <f>IFERROR(_xlfn.XLOOKUP($D119,'Modelling New'!$D:$D,'Modelling New'!W:W),"")</f>
        <v>0.13495571113721361</v>
      </c>
      <c r="AG119" s="222">
        <f>IFERROR(_xlfn.XLOOKUP($D119,'Modelling New'!$D:$D,'Modelling New'!AE:AE),"")</f>
        <v>0.995</v>
      </c>
      <c r="AH119" s="222">
        <f>IFERROR(_xlfn.XLOOKUP($D119,'Modelling New'!$D:$D,'Modelling New'!AF:AF),"")</f>
        <v>0.995</v>
      </c>
      <c r="AI119" s="9"/>
      <c r="AJ119" s="9"/>
      <c r="AK119" s="245"/>
      <c r="AL119" s="245"/>
      <c r="AM119" s="245"/>
      <c r="AN119" s="219"/>
      <c r="AO119" s="222"/>
      <c r="AP119" s="222"/>
      <c r="AQ119" s="222"/>
      <c r="AR119" s="223">
        <f>_xlfn.XLOOKUP(D119,'Modelling New'!$D:$D,'Modelling New'!$N:$N)</f>
        <v>130</v>
      </c>
      <c r="AS119" s="223">
        <f t="shared" si="13"/>
        <v>417984.82853417797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18">
        <f>Table13[[#This Row],[Date]]-DAY(Table13[[#This Row],[Date]])+1</f>
        <v>45839</v>
      </c>
      <c r="E120" s="9">
        <f t="shared" si="10"/>
        <v>31</v>
      </c>
      <c r="F120" s="188">
        <f>IFERROR(_xlfn.XLOOKUP($A120,Input_Raw!$A:$A,Input_Raw!$FC:$FC),"")</f>
        <v>12.150000000000002</v>
      </c>
      <c r="G120" s="189">
        <f>IFERROR(_xlfn.XLOOKUP($A120,Input_Raw!$A:$A,Input_Raw!$CY:$CY),"")</f>
        <v>3.2679467333333343</v>
      </c>
      <c r="H120" s="189">
        <f>IFERROR(_xlfn.XLOOKUP($A120,Input_Raw!$A:$A,Input_Raw!$DA:$DA),"")</f>
        <v>0.56795044166666664</v>
      </c>
      <c r="I120" s="189">
        <f>IFERROR(_xlfn.XLOOKUP($A120,Input_Raw!$A:$A,Input_Raw!$CX:$CX),"")</f>
        <v>3.6363965750000022</v>
      </c>
      <c r="J120" s="189">
        <f>IFERROR(_xlfn.XLOOKUP($A120,Input_Raw!$A:$A,Input_Raw!$CZ:$CZ),"")</f>
        <v>0.44619914166666685</v>
      </c>
      <c r="K120" s="190">
        <f>IFERROR(_xlfn.XLOOKUP($A120,Input_Raw!$A:$A,Input_Raw!$DB:$DB),"")</f>
        <v>26.413895415811929</v>
      </c>
      <c r="L120" s="190">
        <f>IFERROR(_xlfn.XLOOKUP($A120,Input_Raw!$A:$A,Input_Raw!$DC:$DC),"")</f>
        <v>36.370182523057281</v>
      </c>
      <c r="M120" s="189">
        <f>IFERROR(_xlfn.XLOOKUP($A120,Input_Raw!$A:$A,Input_Raw!$DF:$DF),"")</f>
        <v>1.1450030398873343</v>
      </c>
      <c r="N120" s="189">
        <f>IFERROR(_xlfn.XLOOKUP($A120,Input_Raw!$A:$A,Input_Raw!$DG:$DG),"")</f>
        <v>3.99</v>
      </c>
      <c r="O120" s="219">
        <f>IFERROR(1-(SUMIF(Plant_BD!$B:$B,$A120,Plant_BD!$AL:$AL)/($AA120+SUMIF(Plant_BD!$B:$B,$A120,Plant_BD!$AL:$AL))),"")</f>
        <v>0.99827497958888289</v>
      </c>
      <c r="P120" s="219"/>
      <c r="Q120" s="220">
        <f>IFERROR(1-(SUMIF(Grid_BD!$B:$B,$A120,Grid_BD!$V:$V)/($AA120+SUMIF(Grid_BD!$B:$B,$A120,Grid_BD!$V:$V))),"")</f>
        <v>1</v>
      </c>
      <c r="R120" s="219">
        <f>IFERROR(1-(SUMIF(Grid_BD!$B:$B,$A120,Grid_BD!$V:$V)/($AA120+SUMIF(Grid_BD!$B:$B,$A120,Grid_BD!$V:$V))),"")</f>
        <v>1</v>
      </c>
      <c r="S120" s="9"/>
      <c r="T120" s="220"/>
      <c r="U120" s="221">
        <f t="shared" si="11"/>
        <v>0.84722673098360712</v>
      </c>
      <c r="V120" s="221" t="str">
        <f>IFERROR(_xlfn.XLOOKUP($A120,Input_Raw!$A:$A,Input_Raw!$FG:$FG),"")</f>
        <v/>
      </c>
      <c r="W120" s="222">
        <f t="shared" si="12"/>
        <v>0.12743076923076394</v>
      </c>
      <c r="X120" s="29">
        <f>IFERROR(_xlfn.XLOOKUP($A120,Input_Raw!$A:$A,Input_Raw!$DP:$DP),"")</f>
        <v>405182.30000000005</v>
      </c>
      <c r="Y120" s="29">
        <f>IFERROR(_xlfn.XLOOKUP($A120,Input_Raw!$A:$A,Input_Raw!EW:EW),"")</f>
        <v>400751.99999998324</v>
      </c>
      <c r="Z120" s="29">
        <f>IFERROR(_xlfn.XLOOKUP($A120,Input_Raw!$A:$A,Input_Raw!EX:EX),"")</f>
        <v>3167.9999999997381</v>
      </c>
      <c r="AA120" s="29">
        <f>IFERROR(_xlfn.XLOOKUP($A120,Input_Raw!$A:$A,Input_Raw!FA:FA),"")</f>
        <v>397583.99999998347</v>
      </c>
      <c r="AB120" s="9">
        <f>IFERROR(_xlfn.XLOOKUP($A120,Input_Raw!$A:$A,Input_Raw!FD:FD),"")</f>
        <v>129.05000000000001</v>
      </c>
      <c r="AC120" s="178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22">
        <f>IFERROR(_xlfn.XLOOKUP($D120,'Modelling New'!$D:$D,'Modelling New'!O:O),"")</f>
        <v>0.85307603301688106</v>
      </c>
      <c r="AF120" s="222">
        <f>IFERROR(_xlfn.XLOOKUP($D120,'Modelling New'!$D:$D,'Modelling New'!W:W),"")</f>
        <v>0.13495571113721361</v>
      </c>
      <c r="AG120" s="222">
        <f>IFERROR(_xlfn.XLOOKUP($D120,'Modelling New'!$D:$D,'Modelling New'!AE:AE),"")</f>
        <v>0.995</v>
      </c>
      <c r="AH120" s="222">
        <f>IFERROR(_xlfn.XLOOKUP($D120,'Modelling New'!$D:$D,'Modelling New'!AF:AF),"")</f>
        <v>0.995</v>
      </c>
      <c r="AI120" s="9"/>
      <c r="AJ120" s="9"/>
      <c r="AK120" s="245"/>
      <c r="AL120" s="245"/>
      <c r="AM120" s="245"/>
      <c r="AN120" s="219"/>
      <c r="AO120" s="222"/>
      <c r="AP120" s="222"/>
      <c r="AQ120" s="222"/>
      <c r="AR120" s="223">
        <f>_xlfn.XLOOKUP(D120,'Modelling New'!$D:$D,'Modelling New'!$N:$N)</f>
        <v>130</v>
      </c>
      <c r="AS120" s="223">
        <f t="shared" si="13"/>
        <v>417984.82853417797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18">
        <f>Table13[[#This Row],[Date]]-DAY(Table13[[#This Row],[Date]])+1</f>
        <v>45839</v>
      </c>
      <c r="E121" s="9">
        <f t="shared" si="10"/>
        <v>31</v>
      </c>
      <c r="F121" s="188">
        <f>IFERROR(_xlfn.XLOOKUP($A121,Input_Raw!$A:$A,Input_Raw!$FC:$FC),"")</f>
        <v>11.466666666666667</v>
      </c>
      <c r="G121" s="178">
        <f>IFERROR(_xlfn.XLOOKUP($A121,Input_Raw!$A:$A,Input_Raw!$CY:$CY),"")</f>
        <v>1.1659041916666648</v>
      </c>
      <c r="H121" s="178">
        <f>IFERROR(_xlfn.XLOOKUP($A121,Input_Raw!$A:$A,Input_Raw!$DA:$DA),"")</f>
        <v>0.19940930833333337</v>
      </c>
      <c r="I121" s="178">
        <f>IFERROR(_xlfn.XLOOKUP($A121,Input_Raw!$A:$A,Input_Raw!$CX:$CX),"")</f>
        <v>1.3218662999999986</v>
      </c>
      <c r="J121" s="178">
        <f>IFERROR(_xlfn.XLOOKUP($A121,Input_Raw!$A:$A,Input_Raw!$CZ:$CZ),"")</f>
        <v>0.16753787499999992</v>
      </c>
      <c r="K121" s="190">
        <f>IFERROR(_xlfn.XLOOKUP($A121,Input_Raw!$A:$A,Input_Raw!$DB:$DB),"")</f>
        <v>25.251777101799721</v>
      </c>
      <c r="L121" s="190">
        <f>IFERROR(_xlfn.XLOOKUP($A121,Input_Raw!$A:$A,Input_Raw!$DC:$DC),"")</f>
        <v>30.799821144589536</v>
      </c>
      <c r="M121" s="189">
        <f>IFERROR(_xlfn.XLOOKUP($A121,Input_Raw!$A:$A,Input_Raw!$DF:$DF),"")</f>
        <v>1.4605050804047977</v>
      </c>
      <c r="N121" s="189">
        <f>IFERROR(_xlfn.XLOOKUP($A121,Input_Raw!$A:$A,Input_Raw!$DG:$DG),"")</f>
        <v>2.5785</v>
      </c>
      <c r="O121" s="219">
        <f>IFERROR(1-(SUMIF(Plant_BD!$B:$B,$A121,Plant_BD!$AL:$AL)/($AA121+SUMIF(Plant_BD!$B:$B,$A121,Plant_BD!$AL:$AL))),"")</f>
        <v>0.99832468625676773</v>
      </c>
      <c r="P121" s="219"/>
      <c r="Q121" s="220">
        <f>IFERROR(1-(SUMIF(Grid_BD!$B:$B,$A121,Grid_BD!$V:$V)/($AA121+SUMIF(Grid_BD!$B:$B,$A121,Grid_BD!$V:$V))),"")</f>
        <v>1</v>
      </c>
      <c r="R121" s="219">
        <f>IFERROR(1-(SUMIF(Grid_BD!$B:$B,$A121,Grid_BD!$V:$V)/($AA121+SUMIF(Grid_BD!$B:$B,$A121,Grid_BD!$V:$V))),"")</f>
        <v>1</v>
      </c>
      <c r="S121" s="9"/>
      <c r="T121" s="220"/>
      <c r="U121" s="221">
        <f t="shared" si="11"/>
        <v>0.87031329477156505</v>
      </c>
      <c r="V121" s="221" t="str">
        <f>IFERROR(_xlfn.XLOOKUP($A121,Input_Raw!$A:$A,Input_Raw!$FG:$FG),"")</f>
        <v/>
      </c>
      <c r="W121" s="222">
        <f t="shared" si="12"/>
        <v>4.758461538461671E-2</v>
      </c>
      <c r="X121" s="29">
        <f>IFERROR(_xlfn.XLOOKUP($A121,Input_Raw!$A:$A,Input_Raw!$DP:$DP),"")</f>
        <v>150935.79999999999</v>
      </c>
      <c r="Y121" s="29">
        <f>IFERROR(_xlfn.XLOOKUP($A121,Input_Raw!$A:$A,Input_Raw!EW:EW),"")</f>
        <v>151632.00000000419</v>
      </c>
      <c r="Z121" s="29">
        <f>IFERROR(_xlfn.XLOOKUP($A121,Input_Raw!$A:$A,Input_Raw!EX:EX),"")</f>
        <v>3168.0000000000655</v>
      </c>
      <c r="AA121" s="29">
        <f>IFERROR(_xlfn.XLOOKUP($A121,Input_Raw!$A:$A,Input_Raw!FA:FA),"")</f>
        <v>148464.00000000413</v>
      </c>
      <c r="AB121" s="9">
        <f>IFERROR(_xlfn.XLOOKUP($A121,Input_Raw!$A:$A,Input_Raw!FD:FD),"")</f>
        <v>129.05000000000001</v>
      </c>
      <c r="AC121" s="178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22">
        <f>IFERROR(_xlfn.XLOOKUP($D121,'Modelling New'!$D:$D,'Modelling New'!O:O),"")</f>
        <v>0.85307603301688106</v>
      </c>
      <c r="AF121" s="222">
        <f>IFERROR(_xlfn.XLOOKUP($D121,'Modelling New'!$D:$D,'Modelling New'!W:W),"")</f>
        <v>0.13495571113721361</v>
      </c>
      <c r="AG121" s="222">
        <f>IFERROR(_xlfn.XLOOKUP($D121,'Modelling New'!$D:$D,'Modelling New'!AE:AE),"")</f>
        <v>0.995</v>
      </c>
      <c r="AH121" s="222">
        <f>IFERROR(_xlfn.XLOOKUP($D121,'Modelling New'!$D:$D,'Modelling New'!AF:AF),"")</f>
        <v>0.995</v>
      </c>
      <c r="AI121" s="9"/>
      <c r="AJ121" s="9"/>
      <c r="AK121" s="245"/>
      <c r="AL121" s="245"/>
      <c r="AM121" s="245"/>
      <c r="AN121" s="219"/>
      <c r="AO121" s="222"/>
      <c r="AP121" s="222"/>
      <c r="AQ121" s="222"/>
      <c r="AR121" s="223">
        <f>_xlfn.XLOOKUP(D121,'Modelling New'!$D:$D,'Modelling New'!$N:$N)</f>
        <v>130</v>
      </c>
      <c r="AS121" s="223">
        <f t="shared" si="13"/>
        <v>417984.82853417797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18">
        <f>Table13[[#This Row],[Date]]-DAY(Table13[[#This Row],[Date]])+1</f>
        <v>45839</v>
      </c>
      <c r="E122" s="9">
        <f t="shared" si="10"/>
        <v>31</v>
      </c>
      <c r="F122" s="188">
        <f>IFERROR(_xlfn.XLOOKUP($A122,Input_Raw!$A:$A,Input_Raw!$FC:$FC),"")</f>
        <v>11.833333333333332</v>
      </c>
      <c r="G122" s="189">
        <f>IFERROR(_xlfn.XLOOKUP($A122,Input_Raw!$A:$A,Input_Raw!$CY:$CY),"")</f>
        <v>2.3992160250000021</v>
      </c>
      <c r="H122" s="189">
        <f>IFERROR(_xlfn.XLOOKUP($A122,Input_Raw!$A:$A,Input_Raw!$DA:$DA),"")</f>
        <v>0.41328684166666635</v>
      </c>
      <c r="I122" s="189">
        <f>IFERROR(_xlfn.XLOOKUP($A122,Input_Raw!$A:$A,Input_Raw!$CX:$CX),"")</f>
        <v>2.7299909250000014</v>
      </c>
      <c r="J122" s="189">
        <f>IFERROR(_xlfn.XLOOKUP($A122,Input_Raw!$A:$A,Input_Raw!$CZ:$CZ),"")</f>
        <v>0.35022243333333336</v>
      </c>
      <c r="K122" s="190">
        <f>IFERROR(_xlfn.XLOOKUP($A122,Input_Raw!$A:$A,Input_Raw!$DB:$DB),"")</f>
        <v>25.671027039926294</v>
      </c>
      <c r="L122" s="190">
        <f>IFERROR(_xlfn.XLOOKUP($A122,Input_Raw!$A:$A,Input_Raw!$DC:$DC),"")</f>
        <v>33.313443280339641</v>
      </c>
      <c r="M122" s="189">
        <f>IFERROR(_xlfn.XLOOKUP($A122,Input_Raw!$A:$A,Input_Raw!$DF:$DF),"")</f>
        <v>1.4203968055692708</v>
      </c>
      <c r="N122" s="189">
        <f>IFERROR(_xlfn.XLOOKUP($A122,Input_Raw!$A:$A,Input_Raw!$DG:$DG),"")</f>
        <v>3.0225</v>
      </c>
      <c r="O122" s="219">
        <f>IFERROR(1-(SUMIF(Plant_BD!$B:$B,$A122,Plant_BD!$AL:$AL)/($AA122+SUMIF(Plant_BD!$B:$B,$A122,Plant_BD!$AL:$AL))),"")</f>
        <v>0.99829124887250698</v>
      </c>
      <c r="P122" s="219"/>
      <c r="Q122" s="220">
        <f>IFERROR(1-(SUMIF(Grid_BD!$B:$B,$A122,Grid_BD!$V:$V)/($AA122+SUMIF(Grid_BD!$B:$B,$A122,Grid_BD!$V:$V))),"")</f>
        <v>1</v>
      </c>
      <c r="R122" s="219">
        <f>IFERROR(1-(SUMIF(Grid_BD!$B:$B,$A122,Grid_BD!$V:$V)/($AA122+SUMIF(Grid_BD!$B:$B,$A122,Grid_BD!$V:$V))),"")</f>
        <v>1</v>
      </c>
      <c r="S122" s="9"/>
      <c r="T122" s="220"/>
      <c r="U122" s="221">
        <f t="shared" si="11"/>
        <v>0.85446337404115857</v>
      </c>
      <c r="V122" s="221" t="str">
        <f>IFERROR(_xlfn.XLOOKUP($A122,Input_Raw!$A:$A,Input_Raw!$FG:$FG),"")</f>
        <v/>
      </c>
      <c r="W122" s="222">
        <f t="shared" si="12"/>
        <v>9.6484615384618083E-2</v>
      </c>
      <c r="X122" s="29">
        <f>IFERROR(_xlfn.XLOOKUP($A122,Input_Raw!$A:$A,Input_Raw!$DP:$DP),"")</f>
        <v>306414.09999999998</v>
      </c>
      <c r="Y122" s="29">
        <f>IFERROR(_xlfn.XLOOKUP($A122,Input_Raw!$A:$A,Input_Raw!EW:EW),"")</f>
        <v>304344.00000000838</v>
      </c>
      <c r="Z122" s="29">
        <f>IFERROR(_xlfn.XLOOKUP($A122,Input_Raw!$A:$A,Input_Raw!EX:EX),"")</f>
        <v>3311.9999999999345</v>
      </c>
      <c r="AA122" s="29">
        <f>IFERROR(_xlfn.XLOOKUP($A122,Input_Raw!$A:$A,Input_Raw!FA:FA),"")</f>
        <v>301032.00000000844</v>
      </c>
      <c r="AB122" s="9">
        <f>IFERROR(_xlfn.XLOOKUP($A122,Input_Raw!$A:$A,Input_Raw!FD:FD),"")</f>
        <v>129.05000000000001</v>
      </c>
      <c r="AC122" s="178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22">
        <f>IFERROR(_xlfn.XLOOKUP($D122,'Modelling New'!$D:$D,'Modelling New'!O:O),"")</f>
        <v>0.85307603301688106</v>
      </c>
      <c r="AF122" s="222">
        <f>IFERROR(_xlfn.XLOOKUP($D122,'Modelling New'!$D:$D,'Modelling New'!W:W),"")</f>
        <v>0.13495571113721361</v>
      </c>
      <c r="AG122" s="222">
        <f>IFERROR(_xlfn.XLOOKUP($D122,'Modelling New'!$D:$D,'Modelling New'!AE:AE),"")</f>
        <v>0.995</v>
      </c>
      <c r="AH122" s="222">
        <f>IFERROR(_xlfn.XLOOKUP($D122,'Modelling New'!$D:$D,'Modelling New'!AF:AF),"")</f>
        <v>0.995</v>
      </c>
      <c r="AI122" s="9"/>
      <c r="AJ122" s="9"/>
      <c r="AK122" s="245"/>
      <c r="AL122" s="245"/>
      <c r="AM122" s="245"/>
      <c r="AN122" s="219"/>
      <c r="AO122" s="222"/>
      <c r="AP122" s="222"/>
      <c r="AQ122" s="222"/>
      <c r="AR122" s="223">
        <f>_xlfn.XLOOKUP(D122,'Modelling New'!$D:$D,'Modelling New'!$N:$N)</f>
        <v>130</v>
      </c>
      <c r="AS122" s="223">
        <f t="shared" si="13"/>
        <v>417984.82853417797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18">
        <f>Table13[[#This Row],[Date]]-DAY(Table13[[#This Row],[Date]])+1</f>
        <v>45839</v>
      </c>
      <c r="E123" s="9">
        <f t="shared" si="10"/>
        <v>31</v>
      </c>
      <c r="F123" s="188">
        <f>IFERROR(_xlfn.XLOOKUP($A123,Input_Raw!$A:$A,Input_Raw!$FC:$FC),"")</f>
        <v>12.183333333333334</v>
      </c>
      <c r="G123" s="178">
        <f>IFERROR(_xlfn.XLOOKUP($A123,Input_Raw!$A:$A,Input_Raw!$CY:$CY),"")</f>
        <v>2.2117500333333311</v>
      </c>
      <c r="H123" s="178">
        <f>IFERROR(_xlfn.XLOOKUP($A123,Input_Raw!$A:$A,Input_Raw!$DA:$DA),"")</f>
        <v>0.38955861666666669</v>
      </c>
      <c r="I123" s="178">
        <f>IFERROR(_xlfn.XLOOKUP($A123,Input_Raw!$A:$A,Input_Raw!$CX:$CX),"")</f>
        <v>2.5284648666666669</v>
      </c>
      <c r="J123" s="178">
        <f>IFERROR(_xlfn.XLOOKUP($A123,Input_Raw!$A:$A,Input_Raw!$CZ:$CZ),"")</f>
        <v>0.30776288333333351</v>
      </c>
      <c r="K123" s="190">
        <f>IFERROR(_xlfn.XLOOKUP($A123,Input_Raw!$A:$A,Input_Raw!$DB:$DB),"")</f>
        <v>25.785038837501411</v>
      </c>
      <c r="L123" s="190">
        <f>IFERROR(_xlfn.XLOOKUP($A123,Input_Raw!$A:$A,Input_Raw!$DC:$DC),"")</f>
        <v>32.781704930872181</v>
      </c>
      <c r="M123" s="189">
        <f>IFERROR(_xlfn.XLOOKUP($A123,Input_Raw!$A:$A,Input_Raw!$DF:$DF),"")</f>
        <v>1.7175305440667838</v>
      </c>
      <c r="N123" s="189">
        <f>IFERROR(_xlfn.XLOOKUP($A123,Input_Raw!$A:$A,Input_Raw!$DG:$DG),"")</f>
        <v>3.9224999999999999</v>
      </c>
      <c r="O123" s="219">
        <f>IFERROR(1-(SUMIF(Plant_BD!$B:$B,$A123,Plant_BD!$AL:$AL)/($AA123+SUMIF(Plant_BD!$B:$B,$A123,Plant_BD!$AL:$AL))),"")</f>
        <v>0.99836307201103336</v>
      </c>
      <c r="P123" s="219"/>
      <c r="Q123" s="220">
        <f>IFERROR(1-(SUMIF(Grid_BD!$B:$B,$A123,Grid_BD!$V:$V)/($AA123+SUMIF(Grid_BD!$B:$B,$A123,Grid_BD!$V:$V))),"")</f>
        <v>1</v>
      </c>
      <c r="R123" s="219">
        <f>IFERROR(1-(SUMIF(Grid_BD!$B:$B,$A123,Grid_BD!$V:$V)/($AA123+SUMIF(Grid_BD!$B:$B,$A123,Grid_BD!$V:$V))),"")</f>
        <v>1</v>
      </c>
      <c r="S123" s="9"/>
      <c r="T123" s="220"/>
      <c r="U123" s="221">
        <f t="shared" si="11"/>
        <v>0.89255726658276402</v>
      </c>
      <c r="V123" s="221" t="str">
        <f>IFERROR(_xlfn.XLOOKUP($A123,Input_Raw!$A:$A,Input_Raw!$FG:$FG),"")</f>
        <v/>
      </c>
      <c r="W123" s="222">
        <f t="shared" si="12"/>
        <v>9.3346153846151123E-2</v>
      </c>
      <c r="X123" s="29">
        <f>IFERROR(_xlfn.XLOOKUP($A123,Input_Raw!$A:$A,Input_Raw!$DP:$DP),"")</f>
        <v>296103.40000000008</v>
      </c>
      <c r="Y123" s="29">
        <f>IFERROR(_xlfn.XLOOKUP($A123,Input_Raw!$A:$A,Input_Raw!EW:EW),"")</f>
        <v>294335.99999999162</v>
      </c>
      <c r="Z123" s="29">
        <f>IFERROR(_xlfn.XLOOKUP($A123,Input_Raw!$A:$A,Input_Raw!EX:EX),"")</f>
        <v>3096.000000000131</v>
      </c>
      <c r="AA123" s="29">
        <f>IFERROR(_xlfn.XLOOKUP($A123,Input_Raw!$A:$A,Input_Raw!FA:FA),"")</f>
        <v>291239.9999999915</v>
      </c>
      <c r="AB123" s="9">
        <f>IFERROR(_xlfn.XLOOKUP($A123,Input_Raw!$A:$A,Input_Raw!FD:FD),"")</f>
        <v>129.05000000000001</v>
      </c>
      <c r="AC123" s="178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22">
        <f>IFERROR(_xlfn.XLOOKUP($D123,'Modelling New'!$D:$D,'Modelling New'!O:O),"")</f>
        <v>0.85307603301688106</v>
      </c>
      <c r="AF123" s="222">
        <f>IFERROR(_xlfn.XLOOKUP($D123,'Modelling New'!$D:$D,'Modelling New'!W:W),"")</f>
        <v>0.13495571113721361</v>
      </c>
      <c r="AG123" s="222">
        <f>IFERROR(_xlfn.XLOOKUP($D123,'Modelling New'!$D:$D,'Modelling New'!AE:AE),"")</f>
        <v>0.995</v>
      </c>
      <c r="AH123" s="222">
        <f>IFERROR(_xlfn.XLOOKUP($D123,'Modelling New'!$D:$D,'Modelling New'!AF:AF),"")</f>
        <v>0.995</v>
      </c>
      <c r="AI123" s="9"/>
      <c r="AJ123" s="9"/>
      <c r="AK123" s="245"/>
      <c r="AL123" s="245"/>
      <c r="AM123" s="245"/>
      <c r="AN123" s="219"/>
      <c r="AO123" s="222"/>
      <c r="AP123" s="222"/>
      <c r="AQ123" s="222"/>
      <c r="AR123" s="223">
        <f>_xlfn.XLOOKUP(D123,'Modelling New'!$D:$D,'Modelling New'!$N:$N)</f>
        <v>130</v>
      </c>
      <c r="AS123" s="223">
        <f t="shared" si="13"/>
        <v>417984.82853417797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18">
        <f>Table13[[#This Row],[Date]]-DAY(Table13[[#This Row],[Date]])+1</f>
        <v>45839</v>
      </c>
      <c r="E124" s="9">
        <f t="shared" si="10"/>
        <v>31</v>
      </c>
      <c r="F124" s="188">
        <f>IFERROR(_xlfn.XLOOKUP($A124,Input_Raw!$A:$A,Input_Raw!$FC:$FC),"")</f>
        <v>11.233333333333334</v>
      </c>
      <c r="G124" s="189">
        <f>IFERROR(_xlfn.XLOOKUP($A124,Input_Raw!$A:$A,Input_Raw!$CY:$CY),"")</f>
        <v>1.1616400250000014</v>
      </c>
      <c r="H124" s="189">
        <f>IFERROR(_xlfn.XLOOKUP($A124,Input_Raw!$A:$A,Input_Raw!$DA:$DA),"")</f>
        <v>0.20282814166666668</v>
      </c>
      <c r="I124" s="189">
        <f>IFERROR(_xlfn.XLOOKUP($A124,Input_Raw!$A:$A,Input_Raw!$CX:$CX),"")</f>
        <v>1.396916774999998</v>
      </c>
      <c r="J124" s="189">
        <f>IFERROR(_xlfn.XLOOKUP($A124,Input_Raw!$A:$A,Input_Raw!$CZ:$CZ),"")</f>
        <v>0.16345665000000009</v>
      </c>
      <c r="K124" s="190">
        <f>IFERROR(_xlfn.XLOOKUP($A124,Input_Raw!$A:$A,Input_Raw!$DB:$DB),"")</f>
        <v>24.771457900679462</v>
      </c>
      <c r="L124" s="190">
        <f>IFERROR(_xlfn.XLOOKUP($A124,Input_Raw!$A:$A,Input_Raw!$DC:$DC),"")</f>
        <v>31.038278179663266</v>
      </c>
      <c r="M124" s="189">
        <f>IFERROR(_xlfn.XLOOKUP($A124,Input_Raw!$A:$A,Input_Raw!$DF:$DF),"")</f>
        <v>1.553768791116549</v>
      </c>
      <c r="N124" s="189">
        <f>IFERROR(_xlfn.XLOOKUP($A124,Input_Raw!$A:$A,Input_Raw!$DG:$DG),"")</f>
        <v>3.3180000000000001</v>
      </c>
      <c r="O124" s="219">
        <f>IFERROR(1-(SUMIF(Plant_BD!$B:$B,$A124,Plant_BD!$AL:$AL)/($AA124+SUMIF(Plant_BD!$B:$B,$A124,Plant_BD!$AL:$AL))),"")</f>
        <v>0.99831702697302382</v>
      </c>
      <c r="P124" s="219"/>
      <c r="Q124" s="220">
        <f>IFERROR(1-(SUMIF(Grid_BD!$B:$B,$A124,Grid_BD!$V:$V)/($AA124+SUMIF(Grid_BD!$B:$B,$A124,Grid_BD!$V:$V))),"")</f>
        <v>1</v>
      </c>
      <c r="R124" s="219">
        <f>IFERROR(1-(SUMIF(Grid_BD!$B:$B,$A124,Grid_BD!$V:$V)/($AA124+SUMIF(Grid_BD!$B:$B,$A124,Grid_BD!$V:$V))),"")</f>
        <v>1</v>
      </c>
      <c r="S124" s="9"/>
      <c r="T124" s="220"/>
      <c r="U124" s="221">
        <f t="shared" si="11"/>
        <v>0.86948558022612499</v>
      </c>
      <c r="V124" s="221" t="str">
        <f>IFERROR(_xlfn.XLOOKUP($A124,Input_Raw!$A:$A,Input_Raw!$FG:$FG),"")</f>
        <v/>
      </c>
      <c r="W124" s="222">
        <f t="shared" si="12"/>
        <v>5.0238461538460233E-2</v>
      </c>
      <c r="X124" s="29">
        <f>IFERROR(_xlfn.XLOOKUP($A124,Input_Raw!$A:$A,Input_Raw!$DP:$DP),"")</f>
        <v>160039.69999999998</v>
      </c>
      <c r="Y124" s="29">
        <f>IFERROR(_xlfn.XLOOKUP($A124,Input_Raw!$A:$A,Input_Raw!EW:EW),"")</f>
        <v>160487.99999999581</v>
      </c>
      <c r="Z124" s="29">
        <f>IFERROR(_xlfn.XLOOKUP($A124,Input_Raw!$A:$A,Input_Raw!EX:EX),"")</f>
        <v>3743.999999999869</v>
      </c>
      <c r="AA124" s="29">
        <f>IFERROR(_xlfn.XLOOKUP($A124,Input_Raw!$A:$A,Input_Raw!FA:FA),"")</f>
        <v>156743.99999999593</v>
      </c>
      <c r="AB124" s="9">
        <f>IFERROR(_xlfn.XLOOKUP($A124,Input_Raw!$A:$A,Input_Raw!FD:FD),"")</f>
        <v>129.05000000000001</v>
      </c>
      <c r="AC124" s="178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22">
        <f>IFERROR(_xlfn.XLOOKUP($D124,'Modelling New'!$D:$D,'Modelling New'!O:O),"")</f>
        <v>0.85307603301688106</v>
      </c>
      <c r="AF124" s="222">
        <f>IFERROR(_xlfn.XLOOKUP($D124,'Modelling New'!$D:$D,'Modelling New'!W:W),"")</f>
        <v>0.13495571113721361</v>
      </c>
      <c r="AG124" s="222">
        <f>IFERROR(_xlfn.XLOOKUP($D124,'Modelling New'!$D:$D,'Modelling New'!AE:AE),"")</f>
        <v>0.995</v>
      </c>
      <c r="AH124" s="222">
        <f>IFERROR(_xlfn.XLOOKUP($D124,'Modelling New'!$D:$D,'Modelling New'!AF:AF),"")</f>
        <v>0.995</v>
      </c>
      <c r="AI124" s="9"/>
      <c r="AJ124" s="9"/>
      <c r="AK124" s="245"/>
      <c r="AL124" s="245"/>
      <c r="AM124" s="245"/>
      <c r="AN124" s="219"/>
      <c r="AO124" s="222"/>
      <c r="AP124" s="222"/>
      <c r="AQ124" s="222"/>
      <c r="AR124" s="223">
        <f>_xlfn.XLOOKUP(D124,'Modelling New'!$D:$D,'Modelling New'!$N:$N)</f>
        <v>130</v>
      </c>
      <c r="AS124" s="223">
        <f t="shared" si="13"/>
        <v>417984.82853417797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18">
        <f>Table13[[#This Row],[Date]]-DAY(Table13[[#This Row],[Date]])+1</f>
        <v>45839</v>
      </c>
      <c r="E125" s="9">
        <f t="shared" si="10"/>
        <v>31</v>
      </c>
      <c r="F125" s="188">
        <f>IFERROR(_xlfn.XLOOKUP($A125,Input_Raw!$A:$A,Input_Raw!$FC:$FC),"")</f>
        <v>11.783333333333335</v>
      </c>
      <c r="G125" s="178">
        <f>IFERROR(_xlfn.XLOOKUP($A125,Input_Raw!$A:$A,Input_Raw!$CY:$CY),"")</f>
        <v>3.4604698999999997</v>
      </c>
      <c r="H125" s="178">
        <f>IFERROR(_xlfn.XLOOKUP($A125,Input_Raw!$A:$A,Input_Raw!$DA:$DA),"")</f>
        <v>0.61344726666666638</v>
      </c>
      <c r="I125" s="178">
        <f>IFERROR(_xlfn.XLOOKUP($A125,Input_Raw!$A:$A,Input_Raw!$CX:$CX),"")</f>
        <v>3.8332385749999989</v>
      </c>
      <c r="J125" s="178">
        <f>IFERROR(_xlfn.XLOOKUP($A125,Input_Raw!$A:$A,Input_Raw!$CZ:$CZ),"")</f>
        <v>0.48251712500000021</v>
      </c>
      <c r="K125" s="190">
        <f>IFERROR(_xlfn.XLOOKUP($A125,Input_Raw!$A:$A,Input_Raw!$DB:$DB),"")</f>
        <v>26.245931968153418</v>
      </c>
      <c r="L125" s="190">
        <f>IFERROR(_xlfn.XLOOKUP($A125,Input_Raw!$A:$A,Input_Raw!$DC:$DC),"")</f>
        <v>36.103352577274848</v>
      </c>
      <c r="M125" s="189">
        <f>IFERROR(_xlfn.XLOOKUP($A125,Input_Raw!$A:$A,Input_Raw!$DF:$DF),"")</f>
        <v>1.2921867475109985</v>
      </c>
      <c r="N125" s="189">
        <f>IFERROR(_xlfn.XLOOKUP($A125,Input_Raw!$A:$A,Input_Raw!$DG:$DG),"")</f>
        <v>2.5815000000000001</v>
      </c>
      <c r="O125" s="219">
        <f>IFERROR(1-(SUMIF(Plant_BD!$B:$B,$A125,Plant_BD!$AL:$AL)/($AA125+SUMIF(Plant_BD!$B:$B,$A125,Plant_BD!$AL:$AL))),"")</f>
        <v>0.99830031701906463</v>
      </c>
      <c r="P125" s="219"/>
      <c r="Q125" s="220">
        <f>IFERROR(1-(SUMIF(Grid_BD!$B:$B,$A125,Grid_BD!$V:$V)/($AA125+SUMIF(Grid_BD!$B:$B,$A125,Grid_BD!$V:$V))),"")</f>
        <v>1</v>
      </c>
      <c r="R125" s="219">
        <f>IFERROR(1-(SUMIF(Grid_BD!$B:$B,$A125,Grid_BD!$V:$V)/($AA125+SUMIF(Grid_BD!$B:$B,$A125,Grid_BD!$V:$V))),"")</f>
        <v>1</v>
      </c>
      <c r="S125" s="9"/>
      <c r="T125" s="220"/>
      <c r="U125" s="221">
        <f t="shared" si="11"/>
        <v>0.85830129028117774</v>
      </c>
      <c r="V125" s="221" t="str">
        <f>IFERROR(_xlfn.XLOOKUP($A125,Input_Raw!$A:$A,Input_Raw!$FG:$FG),"")</f>
        <v/>
      </c>
      <c r="W125" s="222">
        <f t="shared" si="12"/>
        <v>0.13608461538462069</v>
      </c>
      <c r="X125" s="29">
        <f>IFERROR(_xlfn.XLOOKUP($A125,Input_Raw!$A:$A,Input_Raw!$DP:$DP),"")</f>
        <v>433026.1</v>
      </c>
      <c r="Y125" s="29">
        <f>IFERROR(_xlfn.XLOOKUP($A125,Input_Raw!$A:$A,Input_Raw!EW:EW),"")</f>
        <v>427608.00000001676</v>
      </c>
      <c r="Z125" s="29">
        <f>IFERROR(_xlfn.XLOOKUP($A125,Input_Raw!$A:$A,Input_Raw!EX:EX),"")</f>
        <v>3024.0000000001965</v>
      </c>
      <c r="AA125" s="29">
        <f>IFERROR(_xlfn.XLOOKUP($A125,Input_Raw!$A:$A,Input_Raw!FA:FA),"")</f>
        <v>424584.00000001659</v>
      </c>
      <c r="AB125" s="9">
        <f>IFERROR(_xlfn.XLOOKUP($A125,Input_Raw!$A:$A,Input_Raw!FD:FD),"")</f>
        <v>129.05000000000001</v>
      </c>
      <c r="AC125" s="178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22">
        <f>IFERROR(_xlfn.XLOOKUP($D125,'Modelling New'!$D:$D,'Modelling New'!O:O),"")</f>
        <v>0.85307603301688106</v>
      </c>
      <c r="AF125" s="222">
        <f>IFERROR(_xlfn.XLOOKUP($D125,'Modelling New'!$D:$D,'Modelling New'!W:W),"")</f>
        <v>0.13495571113721361</v>
      </c>
      <c r="AG125" s="222">
        <f>IFERROR(_xlfn.XLOOKUP($D125,'Modelling New'!$D:$D,'Modelling New'!AE:AE),"")</f>
        <v>0.995</v>
      </c>
      <c r="AH125" s="222">
        <f>IFERROR(_xlfn.XLOOKUP($D125,'Modelling New'!$D:$D,'Modelling New'!AF:AF),"")</f>
        <v>0.995</v>
      </c>
      <c r="AI125" s="9"/>
      <c r="AJ125" s="9"/>
      <c r="AK125" s="245"/>
      <c r="AL125" s="245"/>
      <c r="AM125" s="245"/>
      <c r="AN125" s="219"/>
      <c r="AO125" s="222"/>
      <c r="AP125" s="222"/>
      <c r="AQ125" s="222"/>
      <c r="AR125" s="223">
        <f>_xlfn.XLOOKUP(D125,'Modelling New'!$D:$D,'Modelling New'!$N:$N)</f>
        <v>130</v>
      </c>
      <c r="AS125" s="223">
        <f t="shared" si="13"/>
        <v>417984.82853417797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18">
        <f>Table13[[#This Row],[Date]]-DAY(Table13[[#This Row],[Date]])+1</f>
        <v>45839</v>
      </c>
      <c r="E126" s="9">
        <f t="shared" si="10"/>
        <v>31</v>
      </c>
      <c r="F126" s="188">
        <f>IFERROR(_xlfn.XLOOKUP($A126,Input_Raw!$A:$A,Input_Raw!$FC:$FC),"")</f>
        <v>0</v>
      </c>
      <c r="G126" s="189" t="str">
        <f>IFERROR(_xlfn.XLOOKUP($A126,Input_Raw!$A:$A,Input_Raw!$CY:$CY),"")</f>
        <v/>
      </c>
      <c r="H126" s="189" t="str">
        <f>IFERROR(_xlfn.XLOOKUP($A126,Input_Raw!$A:$A,Input_Raw!$DA:$DA),"")</f>
        <v/>
      </c>
      <c r="I126" s="189" t="str">
        <f>IFERROR(_xlfn.XLOOKUP($A126,Input_Raw!$A:$A,Input_Raw!$CX:$CX),"")</f>
        <v/>
      </c>
      <c r="J126" s="189" t="str">
        <f>IFERROR(_xlfn.XLOOKUP($A126,Input_Raw!$A:$A,Input_Raw!$CZ:$CZ),"")</f>
        <v/>
      </c>
      <c r="K126" s="190" t="str">
        <f>IFERROR(_xlfn.XLOOKUP($A126,Input_Raw!$A:$A,Input_Raw!$DB:$DB),"")</f>
        <v/>
      </c>
      <c r="L126" s="190" t="str">
        <f>IFERROR(_xlfn.XLOOKUP($A126,Input_Raw!$A:$A,Input_Raw!$DC:$DC),"")</f>
        <v/>
      </c>
      <c r="M126" s="189" t="str">
        <f>IFERROR(_xlfn.XLOOKUP($A126,Input_Raw!$A:$A,Input_Raw!$DF:$DF),"")</f>
        <v/>
      </c>
      <c r="N126" s="189" t="str">
        <f>IFERROR(_xlfn.XLOOKUP($A126,Input_Raw!$A:$A,Input_Raw!$DG:$DG),"")</f>
        <v/>
      </c>
      <c r="O126" s="219" t="str">
        <f>IFERROR(1-(SUMIF(Plant_BD!$B:$B,$A126,Plant_BD!$AL:$AL)/($AA126+SUMIF(Plant_BD!$B:$B,$A126,Plant_BD!$AL:$AL))),"")</f>
        <v/>
      </c>
      <c r="P126" s="219"/>
      <c r="Q126" s="220" t="str">
        <f>IFERROR(1-(SUMIF(Grid_BD!$B:$B,$A126,Grid_BD!$V:$V)/($AA126+SUMIF(Grid_BD!$B:$B,$A126,Grid_BD!$V:$V))),"")</f>
        <v/>
      </c>
      <c r="R126" s="219" t="str">
        <f>IFERROR(1-(SUMIF(Grid_BD!$B:$B,$A126,Grid_BD!$V:$V)/($AA126+SUMIF(Grid_BD!$B:$B,$A126,Grid_BD!$V:$V))),"")</f>
        <v/>
      </c>
      <c r="S126" s="9"/>
      <c r="T126" s="220"/>
      <c r="U126" s="221" t="str">
        <f t="shared" si="11"/>
        <v/>
      </c>
      <c r="V126" s="221" t="str">
        <f>IFERROR(_xlfn.XLOOKUP($A126,Input_Raw!$A:$A,Input_Raw!$FG:$FG),"")</f>
        <v/>
      </c>
      <c r="W126" s="222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78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22">
        <f>IFERROR(_xlfn.XLOOKUP($D126,'Modelling New'!$D:$D,'Modelling New'!O:O),"")</f>
        <v>0.85307603301688106</v>
      </c>
      <c r="AF126" s="222">
        <f>IFERROR(_xlfn.XLOOKUP($D126,'Modelling New'!$D:$D,'Modelling New'!W:W),"")</f>
        <v>0.13495571113721361</v>
      </c>
      <c r="AG126" s="222">
        <f>IFERROR(_xlfn.XLOOKUP($D126,'Modelling New'!$D:$D,'Modelling New'!AE:AE),"")</f>
        <v>0.995</v>
      </c>
      <c r="AH126" s="222">
        <f>IFERROR(_xlfn.XLOOKUP($D126,'Modelling New'!$D:$D,'Modelling New'!AF:AF),"")</f>
        <v>0.995</v>
      </c>
      <c r="AI126" s="9"/>
      <c r="AJ126" s="9"/>
      <c r="AK126" s="245"/>
      <c r="AL126" s="245"/>
      <c r="AM126" s="245"/>
      <c r="AN126" s="219"/>
      <c r="AO126" s="222"/>
      <c r="AP126" s="222"/>
      <c r="AQ126" s="222"/>
      <c r="AR126" s="223">
        <f>_xlfn.XLOOKUP(D126,'Modelling New'!$D:$D,'Modelling New'!$N:$N)</f>
        <v>130</v>
      </c>
      <c r="AS126" s="223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18">
        <f>Table13[[#This Row],[Date]]-DAY(Table13[[#This Row],[Date]])+1</f>
        <v>45870</v>
      </c>
      <c r="E127" s="9">
        <f t="shared" si="10"/>
        <v>31</v>
      </c>
      <c r="F127" s="188">
        <f>IFERROR(_xlfn.XLOOKUP($A127,Input_Raw!$A:$A,Input_Raw!$FC:$FC),"")</f>
        <v>0</v>
      </c>
      <c r="G127" s="178" t="str">
        <f>IFERROR(_xlfn.XLOOKUP($A127,Input_Raw!$A:$A,Input_Raw!$CY:$CY),"")</f>
        <v/>
      </c>
      <c r="H127" s="178" t="str">
        <f>IFERROR(_xlfn.XLOOKUP($A127,Input_Raw!$A:$A,Input_Raw!$DA:$DA),"")</f>
        <v/>
      </c>
      <c r="I127" s="178" t="str">
        <f>IFERROR(_xlfn.XLOOKUP($A127,Input_Raw!$A:$A,Input_Raw!$CX:$CX),"")</f>
        <v/>
      </c>
      <c r="J127" s="178" t="str">
        <f>IFERROR(_xlfn.XLOOKUP($A127,Input_Raw!$A:$A,Input_Raw!$CZ:$CZ),"")</f>
        <v/>
      </c>
      <c r="K127" s="190" t="str">
        <f>IFERROR(_xlfn.XLOOKUP($A127,Input_Raw!$A:$A,Input_Raw!$DB:$DB),"")</f>
        <v/>
      </c>
      <c r="L127" s="190" t="str">
        <f>IFERROR(_xlfn.XLOOKUP($A127,Input_Raw!$A:$A,Input_Raw!$DC:$DC),"")</f>
        <v/>
      </c>
      <c r="M127" s="189" t="str">
        <f>IFERROR(_xlfn.XLOOKUP($A127,Input_Raw!$A:$A,Input_Raw!$DF:$DF),"")</f>
        <v/>
      </c>
      <c r="N127" s="189" t="str">
        <f>IFERROR(_xlfn.XLOOKUP($A127,Input_Raw!$A:$A,Input_Raw!$DG:$DG),"")</f>
        <v/>
      </c>
      <c r="O127" s="219" t="str">
        <f>IFERROR(1-(SUMIF(Plant_BD!$B:$B,$A127,Plant_BD!$AL:$AL)/($AA127+SUMIF(Plant_BD!$B:$B,$A127,Plant_BD!$AL:$AL))),"")</f>
        <v/>
      </c>
      <c r="P127" s="219"/>
      <c r="Q127" s="220" t="str">
        <f>IFERROR(1-(SUMIF(Grid_BD!$B:$B,$A127,Grid_BD!$V:$V)/($AA127+SUMIF(Grid_BD!$B:$B,$A127,Grid_BD!$V:$V))),"")</f>
        <v/>
      </c>
      <c r="R127" s="219" t="str">
        <f>IFERROR(1-(SUMIF(Grid_BD!$B:$B,$A127,Grid_BD!$V:$V)/($AA127+SUMIF(Grid_BD!$B:$B,$A127,Grid_BD!$V:$V))),"")</f>
        <v/>
      </c>
      <c r="S127" s="9"/>
      <c r="T127" s="220"/>
      <c r="U127" s="221" t="str">
        <f t="shared" si="11"/>
        <v/>
      </c>
      <c r="V127" s="221" t="str">
        <f>IFERROR(_xlfn.XLOOKUP($A127,Input_Raw!$A:$A,Input_Raw!$FG:$FG),"")</f>
        <v/>
      </c>
      <c r="W127" s="222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78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22">
        <f>IFERROR(_xlfn.XLOOKUP($D127,'Modelling New'!$D:$D,'Modelling New'!O:O),"")</f>
        <v>0.85441089246197577</v>
      </c>
      <c r="AF127" s="222">
        <f>IFERROR(_xlfn.XLOOKUP($D127,'Modelling New'!$D:$D,'Modelling New'!W:W),"")</f>
        <v>0.14182761454173928</v>
      </c>
      <c r="AG127" s="222">
        <f>IFERROR(_xlfn.XLOOKUP($D127,'Modelling New'!$D:$D,'Modelling New'!AE:AE),"")</f>
        <v>0.995</v>
      </c>
      <c r="AH127" s="222">
        <f>IFERROR(_xlfn.XLOOKUP($D127,'Modelling New'!$D:$D,'Modelling New'!AF:AF),"")</f>
        <v>0.995</v>
      </c>
      <c r="AI127" s="9"/>
      <c r="AJ127" s="9"/>
      <c r="AK127" s="245"/>
      <c r="AL127" s="245"/>
      <c r="AM127" s="245"/>
      <c r="AN127" s="219"/>
      <c r="AO127" s="222"/>
      <c r="AP127" s="222"/>
      <c r="AQ127" s="222"/>
      <c r="AR127" s="223">
        <f>_xlfn.XLOOKUP(D127,'Modelling New'!$D:$D,'Modelling New'!$N:$N)</f>
        <v>130</v>
      </c>
      <c r="AS127" s="223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18">
        <f>Table13[[#This Row],[Date]]-DAY(Table13[[#This Row],[Date]])+1</f>
        <v>45870</v>
      </c>
      <c r="E128" s="9">
        <f t="shared" si="10"/>
        <v>31</v>
      </c>
      <c r="F128" s="188">
        <f>IFERROR(_xlfn.XLOOKUP($A128,Input_Raw!$A:$A,Input_Raw!$FC:$FC),"")</f>
        <v>0</v>
      </c>
      <c r="G128" s="189" t="str">
        <f>IFERROR(_xlfn.XLOOKUP($A128,Input_Raw!$A:$A,Input_Raw!$CY:$CY),"")</f>
        <v/>
      </c>
      <c r="H128" s="189" t="str">
        <f>IFERROR(_xlfn.XLOOKUP($A128,Input_Raw!$A:$A,Input_Raw!$DA:$DA),"")</f>
        <v/>
      </c>
      <c r="I128" s="189" t="str">
        <f>IFERROR(_xlfn.XLOOKUP($A128,Input_Raw!$A:$A,Input_Raw!$CX:$CX),"")</f>
        <v/>
      </c>
      <c r="J128" s="189" t="str">
        <f>IFERROR(_xlfn.XLOOKUP($A128,Input_Raw!$A:$A,Input_Raw!$CZ:$CZ),"")</f>
        <v/>
      </c>
      <c r="K128" s="190" t="str">
        <f>IFERROR(_xlfn.XLOOKUP($A128,Input_Raw!$A:$A,Input_Raw!$DB:$DB),"")</f>
        <v/>
      </c>
      <c r="L128" s="190" t="str">
        <f>IFERROR(_xlfn.XLOOKUP($A128,Input_Raw!$A:$A,Input_Raw!$DC:$DC),"")</f>
        <v/>
      </c>
      <c r="M128" s="189" t="str">
        <f>IFERROR(_xlfn.XLOOKUP($A128,Input_Raw!$A:$A,Input_Raw!$DF:$DF),"")</f>
        <v/>
      </c>
      <c r="N128" s="189" t="str">
        <f>IFERROR(_xlfn.XLOOKUP($A128,Input_Raw!$A:$A,Input_Raw!$DG:$DG),"")</f>
        <v/>
      </c>
      <c r="O128" s="219" t="str">
        <f>IFERROR(1-(SUMIF(Plant_BD!$B:$B,$A128,Plant_BD!$AL:$AL)/($AA128+SUMIF(Plant_BD!$B:$B,$A128,Plant_BD!$AL:$AL))),"")</f>
        <v/>
      </c>
      <c r="P128" s="219"/>
      <c r="Q128" s="220" t="str">
        <f>IFERROR(1-(SUMIF(Grid_BD!$B:$B,$A128,Grid_BD!$V:$V)/($AA128+SUMIF(Grid_BD!$B:$B,$A128,Grid_BD!$V:$V))),"")</f>
        <v/>
      </c>
      <c r="R128" s="219" t="str">
        <f>IFERROR(1-(SUMIF(Grid_BD!$B:$B,$A128,Grid_BD!$V:$V)/($AA128+SUMIF(Grid_BD!$B:$B,$A128,Grid_BD!$V:$V))),"")</f>
        <v/>
      </c>
      <c r="S128" s="9"/>
      <c r="T128" s="220"/>
      <c r="U128" s="221" t="str">
        <f t="shared" si="11"/>
        <v/>
      </c>
      <c r="V128" s="221" t="str">
        <f>IFERROR(_xlfn.XLOOKUP($A128,Input_Raw!$A:$A,Input_Raw!$FG:$FG),"")</f>
        <v/>
      </c>
      <c r="W128" s="222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78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22">
        <f>IFERROR(_xlfn.XLOOKUP($D128,'Modelling New'!$D:$D,'Modelling New'!O:O),"")</f>
        <v>0.85441089246197577</v>
      </c>
      <c r="AF128" s="222">
        <f>IFERROR(_xlfn.XLOOKUP($D128,'Modelling New'!$D:$D,'Modelling New'!W:W),"")</f>
        <v>0.14182761454173928</v>
      </c>
      <c r="AG128" s="222">
        <f>IFERROR(_xlfn.XLOOKUP($D128,'Modelling New'!$D:$D,'Modelling New'!AE:AE),"")</f>
        <v>0.995</v>
      </c>
      <c r="AH128" s="222">
        <f>IFERROR(_xlfn.XLOOKUP($D128,'Modelling New'!$D:$D,'Modelling New'!AF:AF),"")</f>
        <v>0.995</v>
      </c>
      <c r="AI128" s="9"/>
      <c r="AJ128" s="9"/>
      <c r="AK128" s="245"/>
      <c r="AL128" s="245"/>
      <c r="AM128" s="245"/>
      <c r="AN128" s="219"/>
      <c r="AO128" s="222"/>
      <c r="AP128" s="222"/>
      <c r="AQ128" s="222"/>
      <c r="AR128" s="223">
        <f>_xlfn.XLOOKUP(D128,'Modelling New'!$D:$D,'Modelling New'!$N:$N)</f>
        <v>130</v>
      </c>
      <c r="AS128" s="223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18">
        <f>Table13[[#This Row],[Date]]-DAY(Table13[[#This Row],[Date]])+1</f>
        <v>45870</v>
      </c>
      <c r="E129" s="9">
        <f t="shared" si="10"/>
        <v>31</v>
      </c>
      <c r="F129" s="188">
        <f>IFERROR(_xlfn.XLOOKUP($A129,Input_Raw!$A:$A,Input_Raw!$FC:$FC),"")</f>
        <v>0</v>
      </c>
      <c r="G129" s="178" t="str">
        <f>IFERROR(_xlfn.XLOOKUP($A129,Input_Raw!$A:$A,Input_Raw!$CY:$CY),"")</f>
        <v/>
      </c>
      <c r="H129" s="178" t="str">
        <f>IFERROR(_xlfn.XLOOKUP($A129,Input_Raw!$A:$A,Input_Raw!$DA:$DA),"")</f>
        <v/>
      </c>
      <c r="I129" s="178" t="str">
        <f>IFERROR(_xlfn.XLOOKUP($A129,Input_Raw!$A:$A,Input_Raw!$CX:$CX),"")</f>
        <v/>
      </c>
      <c r="J129" s="178" t="str">
        <f>IFERROR(_xlfn.XLOOKUP($A129,Input_Raw!$A:$A,Input_Raw!$CZ:$CZ),"")</f>
        <v/>
      </c>
      <c r="K129" s="190" t="str">
        <f>IFERROR(_xlfn.XLOOKUP($A129,Input_Raw!$A:$A,Input_Raw!$DB:$DB),"")</f>
        <v/>
      </c>
      <c r="L129" s="190" t="str">
        <f>IFERROR(_xlfn.XLOOKUP($A129,Input_Raw!$A:$A,Input_Raw!$DC:$DC),"")</f>
        <v/>
      </c>
      <c r="M129" s="189" t="str">
        <f>IFERROR(_xlfn.XLOOKUP($A129,Input_Raw!$A:$A,Input_Raw!$DF:$DF),"")</f>
        <v/>
      </c>
      <c r="N129" s="189" t="str">
        <f>IFERROR(_xlfn.XLOOKUP($A129,Input_Raw!$A:$A,Input_Raw!$DG:$DG),"")</f>
        <v/>
      </c>
      <c r="O129" s="219" t="str">
        <f>IFERROR(1-(SUMIF(Plant_BD!$B:$B,$A129,Plant_BD!$AL:$AL)/($AA129+SUMIF(Plant_BD!$B:$B,$A129,Plant_BD!$AL:$AL))),"")</f>
        <v/>
      </c>
      <c r="P129" s="219"/>
      <c r="Q129" s="220" t="str">
        <f>IFERROR(1-(SUMIF(Grid_BD!$B:$B,$A129,Grid_BD!$V:$V)/($AA129+SUMIF(Grid_BD!$B:$B,$A129,Grid_BD!$V:$V))),"")</f>
        <v/>
      </c>
      <c r="R129" s="219" t="str">
        <f>IFERROR(1-(SUMIF(Grid_BD!$B:$B,$A129,Grid_BD!$V:$V)/($AA129+SUMIF(Grid_BD!$B:$B,$A129,Grid_BD!$V:$V))),"")</f>
        <v/>
      </c>
      <c r="S129" s="9"/>
      <c r="T129" s="220"/>
      <c r="U129" s="221" t="str">
        <f t="shared" si="11"/>
        <v/>
      </c>
      <c r="V129" s="221" t="str">
        <f>IFERROR(_xlfn.XLOOKUP($A129,Input_Raw!$A:$A,Input_Raw!$FG:$FG),"")</f>
        <v/>
      </c>
      <c r="W129" s="222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78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22">
        <f>IFERROR(_xlfn.XLOOKUP($D129,'Modelling New'!$D:$D,'Modelling New'!O:O),"")</f>
        <v>0.85441089246197577</v>
      </c>
      <c r="AF129" s="222">
        <f>IFERROR(_xlfn.XLOOKUP($D129,'Modelling New'!$D:$D,'Modelling New'!W:W),"")</f>
        <v>0.14182761454173928</v>
      </c>
      <c r="AG129" s="222">
        <f>IFERROR(_xlfn.XLOOKUP($D129,'Modelling New'!$D:$D,'Modelling New'!AE:AE),"")</f>
        <v>0.995</v>
      </c>
      <c r="AH129" s="222">
        <f>IFERROR(_xlfn.XLOOKUP($D129,'Modelling New'!$D:$D,'Modelling New'!AF:AF),"")</f>
        <v>0.995</v>
      </c>
      <c r="AI129" s="9"/>
      <c r="AJ129" s="9"/>
      <c r="AK129" s="245"/>
      <c r="AL129" s="245"/>
      <c r="AM129" s="245"/>
      <c r="AN129" s="219"/>
      <c r="AO129" s="222"/>
      <c r="AP129" s="222"/>
      <c r="AQ129" s="222"/>
      <c r="AR129" s="223">
        <f>_xlfn.XLOOKUP(D129,'Modelling New'!$D:$D,'Modelling New'!$N:$N)</f>
        <v>130</v>
      </c>
      <c r="AS129" s="223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18">
        <f>Table13[[#This Row],[Date]]-DAY(Table13[[#This Row],[Date]])+1</f>
        <v>45870</v>
      </c>
      <c r="E130" s="9">
        <f t="shared" si="10"/>
        <v>31</v>
      </c>
      <c r="F130" s="188">
        <f>IFERROR(_xlfn.XLOOKUP($A130,Input_Raw!$A:$A,Input_Raw!$FC:$FC),"")</f>
        <v>0</v>
      </c>
      <c r="G130" s="189" t="str">
        <f>IFERROR(_xlfn.XLOOKUP($A130,Input_Raw!$A:$A,Input_Raw!$CY:$CY),"")</f>
        <v/>
      </c>
      <c r="H130" s="189" t="str">
        <f>IFERROR(_xlfn.XLOOKUP($A130,Input_Raw!$A:$A,Input_Raw!$DA:$DA),"")</f>
        <v/>
      </c>
      <c r="I130" s="189" t="str">
        <f>IFERROR(_xlfn.XLOOKUP($A130,Input_Raw!$A:$A,Input_Raw!$CX:$CX),"")</f>
        <v/>
      </c>
      <c r="J130" s="189" t="str">
        <f>IFERROR(_xlfn.XLOOKUP($A130,Input_Raw!$A:$A,Input_Raw!$CZ:$CZ),"")</f>
        <v/>
      </c>
      <c r="K130" s="190" t="str">
        <f>IFERROR(_xlfn.XLOOKUP($A130,Input_Raw!$A:$A,Input_Raw!$DB:$DB),"")</f>
        <v/>
      </c>
      <c r="L130" s="190" t="str">
        <f>IFERROR(_xlfn.XLOOKUP($A130,Input_Raw!$A:$A,Input_Raw!$DC:$DC),"")</f>
        <v/>
      </c>
      <c r="M130" s="189" t="str">
        <f>IFERROR(_xlfn.XLOOKUP($A130,Input_Raw!$A:$A,Input_Raw!$DF:$DF),"")</f>
        <v/>
      </c>
      <c r="N130" s="189" t="str">
        <f>IFERROR(_xlfn.XLOOKUP($A130,Input_Raw!$A:$A,Input_Raw!$DG:$DG),"")</f>
        <v/>
      </c>
      <c r="O130" s="219" t="str">
        <f>IFERROR(1-(SUMIF(Plant_BD!$B:$B,$A130,Plant_BD!$AL:$AL)/($AA130+SUMIF(Plant_BD!$B:$B,$A130,Plant_BD!$AL:$AL))),"")</f>
        <v/>
      </c>
      <c r="P130" s="219"/>
      <c r="Q130" s="220" t="str">
        <f>IFERROR(1-(SUMIF(Grid_BD!$B:$B,$A130,Grid_BD!$V:$V)/($AA130+SUMIF(Grid_BD!$B:$B,$A130,Grid_BD!$V:$V))),"")</f>
        <v/>
      </c>
      <c r="R130" s="219" t="str">
        <f>IFERROR(1-(SUMIF(Grid_BD!$B:$B,$A130,Grid_BD!$V:$V)/($AA130+SUMIF(Grid_BD!$B:$B,$A130,Grid_BD!$V:$V))),"")</f>
        <v/>
      </c>
      <c r="S130" s="9"/>
      <c r="T130" s="220"/>
      <c r="U130" s="221" t="str">
        <f t="shared" si="11"/>
        <v/>
      </c>
      <c r="V130" s="221" t="str">
        <f>IFERROR(_xlfn.XLOOKUP($A130,Input_Raw!$A:$A,Input_Raw!$FG:$FG),"")</f>
        <v/>
      </c>
      <c r="W130" s="222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78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22">
        <f>IFERROR(_xlfn.XLOOKUP($D130,'Modelling New'!$D:$D,'Modelling New'!O:O),"")</f>
        <v>0.85441089246197577</v>
      </c>
      <c r="AF130" s="222">
        <f>IFERROR(_xlfn.XLOOKUP($D130,'Modelling New'!$D:$D,'Modelling New'!W:W),"")</f>
        <v>0.14182761454173928</v>
      </c>
      <c r="AG130" s="222">
        <f>IFERROR(_xlfn.XLOOKUP($D130,'Modelling New'!$D:$D,'Modelling New'!AE:AE),"")</f>
        <v>0.995</v>
      </c>
      <c r="AH130" s="222">
        <f>IFERROR(_xlfn.XLOOKUP($D130,'Modelling New'!$D:$D,'Modelling New'!AF:AF),"")</f>
        <v>0.995</v>
      </c>
      <c r="AI130" s="9"/>
      <c r="AJ130" s="9"/>
      <c r="AK130" s="245"/>
      <c r="AL130" s="245"/>
      <c r="AM130" s="245"/>
      <c r="AN130" s="219"/>
      <c r="AO130" s="222"/>
      <c r="AP130" s="222"/>
      <c r="AQ130" s="222"/>
      <c r="AR130" s="223">
        <f>_xlfn.XLOOKUP(D130,'Modelling New'!$D:$D,'Modelling New'!$N:$N)</f>
        <v>130</v>
      </c>
      <c r="AS130" s="223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18">
        <f>Table13[[#This Row],[Date]]-DAY(Table13[[#This Row],[Date]])+1</f>
        <v>45870</v>
      </c>
      <c r="E131" s="9">
        <f t="shared" si="10"/>
        <v>31</v>
      </c>
      <c r="F131" s="188">
        <f>IFERROR(_xlfn.XLOOKUP($A131,Input_Raw!$A:$A,Input_Raw!$FC:$FC),"")</f>
        <v>0</v>
      </c>
      <c r="G131" s="178" t="str">
        <f>IFERROR(_xlfn.XLOOKUP($A131,Input_Raw!$A:$A,Input_Raw!$CY:$CY),"")</f>
        <v/>
      </c>
      <c r="H131" s="178" t="str">
        <f>IFERROR(_xlfn.XLOOKUP($A131,Input_Raw!$A:$A,Input_Raw!$DA:$DA),"")</f>
        <v/>
      </c>
      <c r="I131" s="178" t="str">
        <f>IFERROR(_xlfn.XLOOKUP($A131,Input_Raw!$A:$A,Input_Raw!$CX:$CX),"")</f>
        <v/>
      </c>
      <c r="J131" s="178" t="str">
        <f>IFERROR(_xlfn.XLOOKUP($A131,Input_Raw!$A:$A,Input_Raw!$CZ:$CZ),"")</f>
        <v/>
      </c>
      <c r="K131" s="190" t="str">
        <f>IFERROR(_xlfn.XLOOKUP($A131,Input_Raw!$A:$A,Input_Raw!$DB:$DB),"")</f>
        <v/>
      </c>
      <c r="L131" s="190" t="str">
        <f>IFERROR(_xlfn.XLOOKUP($A131,Input_Raw!$A:$A,Input_Raw!$DC:$DC),"")</f>
        <v/>
      </c>
      <c r="M131" s="189" t="str">
        <f>IFERROR(_xlfn.XLOOKUP($A131,Input_Raw!$A:$A,Input_Raw!$DF:$DF),"")</f>
        <v/>
      </c>
      <c r="N131" s="189" t="str">
        <f>IFERROR(_xlfn.XLOOKUP($A131,Input_Raw!$A:$A,Input_Raw!$DG:$DG),"")</f>
        <v/>
      </c>
      <c r="O131" s="219" t="str">
        <f>IFERROR(1-(SUMIF(Plant_BD!$B:$B,$A131,Plant_BD!$AL:$AL)/($AA131+SUMIF(Plant_BD!$B:$B,$A131,Plant_BD!$AL:$AL))),"")</f>
        <v/>
      </c>
      <c r="P131" s="219"/>
      <c r="Q131" s="220" t="str">
        <f>IFERROR(1-(SUMIF(Grid_BD!$B:$B,$A131,Grid_BD!$V:$V)/($AA131+SUMIF(Grid_BD!$B:$B,$A131,Grid_BD!$V:$V))),"")</f>
        <v/>
      </c>
      <c r="R131" s="219" t="str">
        <f>IFERROR(1-(SUMIF(Grid_BD!$B:$B,$A131,Grid_BD!$V:$V)/($AA131+SUMIF(Grid_BD!$B:$B,$A131,Grid_BD!$V:$V))),"")</f>
        <v/>
      </c>
      <c r="S131" s="9"/>
      <c r="T131" s="220"/>
      <c r="U131" s="221" t="str">
        <f t="shared" si="11"/>
        <v/>
      </c>
      <c r="V131" s="221" t="str">
        <f>IFERROR(_xlfn.XLOOKUP($A131,Input_Raw!$A:$A,Input_Raw!$FG:$FG),"")</f>
        <v/>
      </c>
      <c r="W131" s="222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78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22">
        <f>IFERROR(_xlfn.XLOOKUP($D131,'Modelling New'!$D:$D,'Modelling New'!O:O),"")</f>
        <v>0.85441089246197577</v>
      </c>
      <c r="AF131" s="222">
        <f>IFERROR(_xlfn.XLOOKUP($D131,'Modelling New'!$D:$D,'Modelling New'!W:W),"")</f>
        <v>0.14182761454173928</v>
      </c>
      <c r="AG131" s="222">
        <f>IFERROR(_xlfn.XLOOKUP($D131,'Modelling New'!$D:$D,'Modelling New'!AE:AE),"")</f>
        <v>0.995</v>
      </c>
      <c r="AH131" s="222">
        <f>IFERROR(_xlfn.XLOOKUP($D131,'Modelling New'!$D:$D,'Modelling New'!AF:AF),"")</f>
        <v>0.995</v>
      </c>
      <c r="AI131" s="9"/>
      <c r="AJ131" s="9"/>
      <c r="AK131" s="245"/>
      <c r="AL131" s="245"/>
      <c r="AM131" s="245"/>
      <c r="AN131" s="219"/>
      <c r="AO131" s="222"/>
      <c r="AP131" s="222"/>
      <c r="AQ131" s="222"/>
      <c r="AR131" s="223">
        <f>_xlfn.XLOOKUP(D131,'Modelling New'!$D:$D,'Modelling New'!$N:$N)</f>
        <v>130</v>
      </c>
      <c r="AS131" s="223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18">
        <f>Table13[[#This Row],[Date]]-DAY(Table13[[#This Row],[Date]])+1</f>
        <v>45870</v>
      </c>
      <c r="E132" s="9">
        <f t="shared" si="10"/>
        <v>31</v>
      </c>
      <c r="F132" s="188">
        <f>IFERROR(_xlfn.XLOOKUP($A132,Input_Raw!$A:$A,Input_Raw!$FC:$FC),"")</f>
        <v>0</v>
      </c>
      <c r="G132" s="189" t="str">
        <f>IFERROR(_xlfn.XLOOKUP($A132,Input_Raw!$A:$A,Input_Raw!$CY:$CY),"")</f>
        <v/>
      </c>
      <c r="H132" s="189" t="str">
        <f>IFERROR(_xlfn.XLOOKUP($A132,Input_Raw!$A:$A,Input_Raw!$DA:$DA),"")</f>
        <v/>
      </c>
      <c r="I132" s="189" t="str">
        <f>IFERROR(_xlfn.XLOOKUP($A132,Input_Raw!$A:$A,Input_Raw!$CX:$CX),"")</f>
        <v/>
      </c>
      <c r="J132" s="189" t="str">
        <f>IFERROR(_xlfn.XLOOKUP($A132,Input_Raw!$A:$A,Input_Raw!$CZ:$CZ),"")</f>
        <v/>
      </c>
      <c r="K132" s="190" t="str">
        <f>IFERROR(_xlfn.XLOOKUP($A132,Input_Raw!$A:$A,Input_Raw!$DB:$DB),"")</f>
        <v/>
      </c>
      <c r="L132" s="190" t="str">
        <f>IFERROR(_xlfn.XLOOKUP($A132,Input_Raw!$A:$A,Input_Raw!$DC:$DC),"")</f>
        <v/>
      </c>
      <c r="M132" s="189" t="str">
        <f>IFERROR(_xlfn.XLOOKUP($A132,Input_Raw!$A:$A,Input_Raw!$DF:$DF),"")</f>
        <v/>
      </c>
      <c r="N132" s="189" t="str">
        <f>IFERROR(_xlfn.XLOOKUP($A132,Input_Raw!$A:$A,Input_Raw!$DG:$DG),"")</f>
        <v/>
      </c>
      <c r="O132" s="219" t="str">
        <f>IFERROR(1-(SUMIF(Plant_BD!$B:$B,$A132,Plant_BD!$AL:$AL)/($AA132+SUMIF(Plant_BD!$B:$B,$A132,Plant_BD!$AL:$AL))),"")</f>
        <v/>
      </c>
      <c r="P132" s="219"/>
      <c r="Q132" s="220" t="str">
        <f>IFERROR(1-(SUMIF(Grid_BD!$B:$B,$A132,Grid_BD!$V:$V)/($AA132+SUMIF(Grid_BD!$B:$B,$A132,Grid_BD!$V:$V))),"")</f>
        <v/>
      </c>
      <c r="R132" s="219" t="str">
        <f>IFERROR(1-(SUMIF(Grid_BD!$B:$B,$A132,Grid_BD!$V:$V)/($AA132+SUMIF(Grid_BD!$B:$B,$A132,Grid_BD!$V:$V))),"")</f>
        <v/>
      </c>
      <c r="S132" s="9"/>
      <c r="T132" s="220"/>
      <c r="U132" s="221" t="str">
        <f t="shared" si="11"/>
        <v/>
      </c>
      <c r="V132" s="221" t="str">
        <f>IFERROR(_xlfn.XLOOKUP($A132,Input_Raw!$A:$A,Input_Raw!$FG:$FG),"")</f>
        <v/>
      </c>
      <c r="W132" s="222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78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22">
        <f>IFERROR(_xlfn.XLOOKUP($D132,'Modelling New'!$D:$D,'Modelling New'!O:O),"")</f>
        <v>0.85441089246197577</v>
      </c>
      <c r="AF132" s="222">
        <f>IFERROR(_xlfn.XLOOKUP($D132,'Modelling New'!$D:$D,'Modelling New'!W:W),"")</f>
        <v>0.14182761454173928</v>
      </c>
      <c r="AG132" s="222">
        <f>IFERROR(_xlfn.XLOOKUP($D132,'Modelling New'!$D:$D,'Modelling New'!AE:AE),"")</f>
        <v>0.995</v>
      </c>
      <c r="AH132" s="222">
        <f>IFERROR(_xlfn.XLOOKUP($D132,'Modelling New'!$D:$D,'Modelling New'!AF:AF),"")</f>
        <v>0.995</v>
      </c>
      <c r="AI132" s="9"/>
      <c r="AJ132" s="9"/>
      <c r="AK132" s="245"/>
      <c r="AL132" s="245"/>
      <c r="AM132" s="245"/>
      <c r="AN132" s="219"/>
      <c r="AO132" s="222"/>
      <c r="AP132" s="222"/>
      <c r="AQ132" s="222"/>
      <c r="AR132" s="223">
        <f>_xlfn.XLOOKUP(D132,'Modelling New'!$D:$D,'Modelling New'!$N:$N)</f>
        <v>130</v>
      </c>
      <c r="AS132" s="223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18">
        <f>Table13[[#This Row],[Date]]-DAY(Table13[[#This Row],[Date]])+1</f>
        <v>45870</v>
      </c>
      <c r="E133" s="9">
        <f t="shared" si="10"/>
        <v>31</v>
      </c>
      <c r="F133" s="188">
        <f>IFERROR(_xlfn.XLOOKUP($A133,Input_Raw!$A:$A,Input_Raw!$FC:$FC),"")</f>
        <v>0</v>
      </c>
      <c r="G133" s="178" t="str">
        <f>IFERROR(_xlfn.XLOOKUP($A133,Input_Raw!$A:$A,Input_Raw!$CY:$CY),"")</f>
        <v/>
      </c>
      <c r="H133" s="178" t="str">
        <f>IFERROR(_xlfn.XLOOKUP($A133,Input_Raw!$A:$A,Input_Raw!$DA:$DA),"")</f>
        <v/>
      </c>
      <c r="I133" s="178" t="str">
        <f>IFERROR(_xlfn.XLOOKUP($A133,Input_Raw!$A:$A,Input_Raw!$CX:$CX),"")</f>
        <v/>
      </c>
      <c r="J133" s="178" t="str">
        <f>IFERROR(_xlfn.XLOOKUP($A133,Input_Raw!$A:$A,Input_Raw!$CZ:$CZ),"")</f>
        <v/>
      </c>
      <c r="K133" s="190" t="str">
        <f>IFERROR(_xlfn.XLOOKUP($A133,Input_Raw!$A:$A,Input_Raw!$DB:$DB),"")</f>
        <v/>
      </c>
      <c r="L133" s="190" t="str">
        <f>IFERROR(_xlfn.XLOOKUP($A133,Input_Raw!$A:$A,Input_Raw!$DC:$DC),"")</f>
        <v/>
      </c>
      <c r="M133" s="189" t="str">
        <f>IFERROR(_xlfn.XLOOKUP($A133,Input_Raw!$A:$A,Input_Raw!$DF:$DF),"")</f>
        <v/>
      </c>
      <c r="N133" s="189" t="str">
        <f>IFERROR(_xlfn.XLOOKUP($A133,Input_Raw!$A:$A,Input_Raw!$DG:$DG),"")</f>
        <v/>
      </c>
      <c r="O133" s="219" t="str">
        <f>IFERROR(1-(SUMIF(Plant_BD!$B:$B,$A133,Plant_BD!$AL:$AL)/($AA133+SUMIF(Plant_BD!$B:$B,$A133,Plant_BD!$AL:$AL))),"")</f>
        <v/>
      </c>
      <c r="P133" s="219"/>
      <c r="Q133" s="220" t="str">
        <f>IFERROR(1-(SUMIF(Grid_BD!$B:$B,$A133,Grid_BD!$V:$V)/($AA133+SUMIF(Grid_BD!$B:$B,$A133,Grid_BD!$V:$V))),"")</f>
        <v/>
      </c>
      <c r="R133" s="219" t="str">
        <f>IFERROR(1-(SUMIF(Grid_BD!$B:$B,$A133,Grid_BD!$V:$V)/($AA133+SUMIF(Grid_BD!$B:$B,$A133,Grid_BD!$V:$V))),"")</f>
        <v/>
      </c>
      <c r="S133" s="9"/>
      <c r="T133" s="220"/>
      <c r="U133" s="221" t="str">
        <f t="shared" si="11"/>
        <v/>
      </c>
      <c r="V133" s="221" t="str">
        <f>IFERROR(_xlfn.XLOOKUP($A133,Input_Raw!$A:$A,Input_Raw!$FG:$FG),"")</f>
        <v/>
      </c>
      <c r="W133" s="222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78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22">
        <f>IFERROR(_xlfn.XLOOKUP($D133,'Modelling New'!$D:$D,'Modelling New'!O:O),"")</f>
        <v>0.85441089246197577</v>
      </c>
      <c r="AF133" s="222">
        <f>IFERROR(_xlfn.XLOOKUP($D133,'Modelling New'!$D:$D,'Modelling New'!W:W),"")</f>
        <v>0.14182761454173928</v>
      </c>
      <c r="AG133" s="222">
        <f>IFERROR(_xlfn.XLOOKUP($D133,'Modelling New'!$D:$D,'Modelling New'!AE:AE),"")</f>
        <v>0.995</v>
      </c>
      <c r="AH133" s="222">
        <f>IFERROR(_xlfn.XLOOKUP($D133,'Modelling New'!$D:$D,'Modelling New'!AF:AF),"")</f>
        <v>0.995</v>
      </c>
      <c r="AI133" s="9"/>
      <c r="AJ133" s="9"/>
      <c r="AK133" s="245"/>
      <c r="AL133" s="245"/>
      <c r="AM133" s="245"/>
      <c r="AN133" s="219"/>
      <c r="AO133" s="222"/>
      <c r="AP133" s="222"/>
      <c r="AQ133" s="222"/>
      <c r="AR133" s="223">
        <f>_xlfn.XLOOKUP(D133,'Modelling New'!$D:$D,'Modelling New'!$N:$N)</f>
        <v>130</v>
      </c>
      <c r="AS133" s="223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18">
        <f>Table13[[#This Row],[Date]]-DAY(Table13[[#This Row],[Date]])+1</f>
        <v>45870</v>
      </c>
      <c r="E134" s="9">
        <f t="shared" si="10"/>
        <v>31</v>
      </c>
      <c r="F134" s="188" t="str">
        <f>IFERROR(_xlfn.XLOOKUP($A134,Input_Raw!$A:$A,Input_Raw!$FC:$FC),"")</f>
        <v/>
      </c>
      <c r="G134" s="189" t="str">
        <f>IFERROR(_xlfn.XLOOKUP($A134,Input_Raw!$A:$A,Input_Raw!$CY:$CY),"")</f>
        <v/>
      </c>
      <c r="H134" s="189" t="str">
        <f>IFERROR(_xlfn.XLOOKUP($A134,Input_Raw!$A:$A,Input_Raw!$DA:$DA),"")</f>
        <v/>
      </c>
      <c r="I134" s="189" t="str">
        <f>IFERROR(_xlfn.XLOOKUP($A134,Input_Raw!$A:$A,Input_Raw!$CX:$CX),"")</f>
        <v/>
      </c>
      <c r="J134" s="189" t="str">
        <f>IFERROR(_xlfn.XLOOKUP($A134,Input_Raw!$A:$A,Input_Raw!$CZ:$CZ),"")</f>
        <v/>
      </c>
      <c r="K134" s="190" t="str">
        <f>IFERROR(_xlfn.XLOOKUP($A134,Input_Raw!$A:$A,Input_Raw!$DB:$DB),"")</f>
        <v/>
      </c>
      <c r="L134" s="190" t="str">
        <f>IFERROR(_xlfn.XLOOKUP($A134,Input_Raw!$A:$A,Input_Raw!$DC:$DC),"")</f>
        <v/>
      </c>
      <c r="M134" s="189" t="str">
        <f>IFERROR(_xlfn.XLOOKUP($A134,Input_Raw!$A:$A,Input_Raw!$DF:$DF),"")</f>
        <v/>
      </c>
      <c r="N134" s="189" t="str">
        <f>IFERROR(_xlfn.XLOOKUP($A134,Input_Raw!$A:$A,Input_Raw!$DG:$DG),"")</f>
        <v/>
      </c>
      <c r="O134" s="219" t="str">
        <f>IFERROR(1-(SUMIF(Plant_BD!$B:$B,$A134,Plant_BD!$AL:$AL)/($AA134+SUMIF(Plant_BD!$B:$B,$A134,Plant_BD!$AL:$AL))),"")</f>
        <v/>
      </c>
      <c r="P134" s="219"/>
      <c r="Q134" s="220" t="str">
        <f>IFERROR(1-(SUMIF(Grid_BD!$B:$B,$A134,Grid_BD!$V:$V)/($AA134+SUMIF(Grid_BD!$B:$B,$A134,Grid_BD!$V:$V))),"")</f>
        <v/>
      </c>
      <c r="R134" s="219" t="str">
        <f>IFERROR(1-(SUMIF(Grid_BD!$B:$B,$A134,Grid_BD!$V:$V)/($AA134+SUMIF(Grid_BD!$B:$B,$A134,Grid_BD!$V:$V))),"")</f>
        <v/>
      </c>
      <c r="S134" s="9"/>
      <c r="T134" s="220"/>
      <c r="U134" s="221" t="str">
        <f t="shared" si="11"/>
        <v/>
      </c>
      <c r="V134" s="221" t="str">
        <f>IFERROR(_xlfn.XLOOKUP($A134,Input_Raw!$A:$A,Input_Raw!$FG:$FG),"")</f>
        <v/>
      </c>
      <c r="W134" s="222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78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22">
        <f>IFERROR(_xlfn.XLOOKUP($D134,'Modelling New'!$D:$D,'Modelling New'!O:O),"")</f>
        <v>0.85441089246197577</v>
      </c>
      <c r="AF134" s="222">
        <f>IFERROR(_xlfn.XLOOKUP($D134,'Modelling New'!$D:$D,'Modelling New'!W:W),"")</f>
        <v>0.14182761454173928</v>
      </c>
      <c r="AG134" s="222">
        <f>IFERROR(_xlfn.XLOOKUP($D134,'Modelling New'!$D:$D,'Modelling New'!AE:AE),"")</f>
        <v>0.995</v>
      </c>
      <c r="AH134" s="222">
        <f>IFERROR(_xlfn.XLOOKUP($D134,'Modelling New'!$D:$D,'Modelling New'!AF:AF),"")</f>
        <v>0.995</v>
      </c>
      <c r="AI134" s="9"/>
      <c r="AJ134" s="9"/>
      <c r="AK134" s="245"/>
      <c r="AL134" s="245"/>
      <c r="AM134" s="245"/>
      <c r="AN134" s="219"/>
      <c r="AO134" s="222"/>
      <c r="AP134" s="222"/>
      <c r="AQ134" s="222"/>
      <c r="AR134" s="223">
        <f>_xlfn.XLOOKUP(D134,'Modelling New'!$D:$D,'Modelling New'!$N:$N)</f>
        <v>130</v>
      </c>
      <c r="AS134" s="223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18">
        <f>Table13[[#This Row],[Date]]-DAY(Table13[[#This Row],[Date]])+1</f>
        <v>45870</v>
      </c>
      <c r="E135" s="9">
        <f t="shared" si="10"/>
        <v>31</v>
      </c>
      <c r="F135" s="188" t="str">
        <f>IFERROR(_xlfn.XLOOKUP($A135,Input_Raw!$A:$A,Input_Raw!$FC:$FC),"")</f>
        <v/>
      </c>
      <c r="G135" s="178" t="str">
        <f>IFERROR(_xlfn.XLOOKUP($A135,Input_Raw!$A:$A,Input_Raw!$CY:$CY),"")</f>
        <v/>
      </c>
      <c r="H135" s="178" t="str">
        <f>IFERROR(_xlfn.XLOOKUP($A135,Input_Raw!$A:$A,Input_Raw!$DA:$DA),"")</f>
        <v/>
      </c>
      <c r="I135" s="178" t="str">
        <f>IFERROR(_xlfn.XLOOKUP($A135,Input_Raw!$A:$A,Input_Raw!$CX:$CX),"")</f>
        <v/>
      </c>
      <c r="J135" s="178" t="str">
        <f>IFERROR(_xlfn.XLOOKUP($A135,Input_Raw!$A:$A,Input_Raw!$CZ:$CZ),"")</f>
        <v/>
      </c>
      <c r="K135" s="190" t="str">
        <f>IFERROR(_xlfn.XLOOKUP($A135,Input_Raw!$A:$A,Input_Raw!$DB:$DB),"")</f>
        <v/>
      </c>
      <c r="L135" s="190" t="str">
        <f>IFERROR(_xlfn.XLOOKUP($A135,Input_Raw!$A:$A,Input_Raw!$DC:$DC),"")</f>
        <v/>
      </c>
      <c r="M135" s="189" t="str">
        <f>IFERROR(_xlfn.XLOOKUP($A135,Input_Raw!$A:$A,Input_Raw!$DF:$DF),"")</f>
        <v/>
      </c>
      <c r="N135" s="189" t="str">
        <f>IFERROR(_xlfn.XLOOKUP($A135,Input_Raw!$A:$A,Input_Raw!$DG:$DG),"")</f>
        <v/>
      </c>
      <c r="O135" s="219" t="str">
        <f>IFERROR(1-(SUMIF(Plant_BD!$B:$B,$A135,Plant_BD!$AL:$AL)/($AA135+SUMIF(Plant_BD!$B:$B,$A135,Plant_BD!$AL:$AL))),"")</f>
        <v/>
      </c>
      <c r="P135" s="219"/>
      <c r="Q135" s="220" t="str">
        <f>IFERROR(1-(SUMIF(Grid_BD!$B:$B,$A135,Grid_BD!$V:$V)/($AA135+SUMIF(Grid_BD!$B:$B,$A135,Grid_BD!$V:$V))),"")</f>
        <v/>
      </c>
      <c r="R135" s="219" t="str">
        <f>IFERROR(1-(SUMIF(Grid_BD!$B:$B,$A135,Grid_BD!$V:$V)/($AA135+SUMIF(Grid_BD!$B:$B,$A135,Grid_BD!$V:$V))),"")</f>
        <v/>
      </c>
      <c r="S135" s="9"/>
      <c r="T135" s="220"/>
      <c r="U135" s="221" t="str">
        <f t="shared" si="11"/>
        <v/>
      </c>
      <c r="V135" s="221" t="str">
        <f>IFERROR(_xlfn.XLOOKUP($A135,Input_Raw!$A:$A,Input_Raw!$FG:$FG),"")</f>
        <v/>
      </c>
      <c r="W135" s="222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78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22">
        <f>IFERROR(_xlfn.XLOOKUP($D135,'Modelling New'!$D:$D,'Modelling New'!O:O),"")</f>
        <v>0.85441089246197577</v>
      </c>
      <c r="AF135" s="222">
        <f>IFERROR(_xlfn.XLOOKUP($D135,'Modelling New'!$D:$D,'Modelling New'!W:W),"")</f>
        <v>0.14182761454173928</v>
      </c>
      <c r="AG135" s="222">
        <f>IFERROR(_xlfn.XLOOKUP($D135,'Modelling New'!$D:$D,'Modelling New'!AE:AE),"")</f>
        <v>0.995</v>
      </c>
      <c r="AH135" s="222">
        <f>IFERROR(_xlfn.XLOOKUP($D135,'Modelling New'!$D:$D,'Modelling New'!AF:AF),"")</f>
        <v>0.995</v>
      </c>
      <c r="AI135" s="9"/>
      <c r="AJ135" s="9"/>
      <c r="AK135" s="245"/>
      <c r="AL135" s="245"/>
      <c r="AM135" s="245"/>
      <c r="AN135" s="219"/>
      <c r="AO135" s="222"/>
      <c r="AP135" s="222"/>
      <c r="AQ135" s="222"/>
      <c r="AR135" s="223">
        <f>_xlfn.XLOOKUP(D135,'Modelling New'!$D:$D,'Modelling New'!$N:$N)</f>
        <v>130</v>
      </c>
      <c r="AS135" s="223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18">
        <f>Table13[[#This Row],[Date]]-DAY(Table13[[#This Row],[Date]])+1</f>
        <v>45870</v>
      </c>
      <c r="E136" s="9">
        <f t="shared" si="10"/>
        <v>31</v>
      </c>
      <c r="F136" s="188" t="str">
        <f>IFERROR(_xlfn.XLOOKUP($A136,Input_Raw!$A:$A,Input_Raw!$FC:$FC),"")</f>
        <v/>
      </c>
      <c r="G136" s="189" t="str">
        <f>IFERROR(_xlfn.XLOOKUP($A136,Input_Raw!$A:$A,Input_Raw!$CY:$CY),"")</f>
        <v/>
      </c>
      <c r="H136" s="189" t="str">
        <f>IFERROR(_xlfn.XLOOKUP($A136,Input_Raw!$A:$A,Input_Raw!$DA:$DA),"")</f>
        <v/>
      </c>
      <c r="I136" s="189" t="str">
        <f>IFERROR(_xlfn.XLOOKUP($A136,Input_Raw!$A:$A,Input_Raw!$CX:$CX),"")</f>
        <v/>
      </c>
      <c r="J136" s="189" t="str">
        <f>IFERROR(_xlfn.XLOOKUP($A136,Input_Raw!$A:$A,Input_Raw!$CZ:$CZ),"")</f>
        <v/>
      </c>
      <c r="K136" s="190" t="str">
        <f>IFERROR(_xlfn.XLOOKUP($A136,Input_Raw!$A:$A,Input_Raw!$DB:$DB),"")</f>
        <v/>
      </c>
      <c r="L136" s="190" t="str">
        <f>IFERROR(_xlfn.XLOOKUP($A136,Input_Raw!$A:$A,Input_Raw!$DC:$DC),"")</f>
        <v/>
      </c>
      <c r="M136" s="189" t="str">
        <f>IFERROR(_xlfn.XLOOKUP($A136,Input_Raw!$A:$A,Input_Raw!$DF:$DF),"")</f>
        <v/>
      </c>
      <c r="N136" s="189" t="str">
        <f>IFERROR(_xlfn.XLOOKUP($A136,Input_Raw!$A:$A,Input_Raw!$DG:$DG),"")</f>
        <v/>
      </c>
      <c r="O136" s="219" t="str">
        <f>IFERROR(1-(SUMIF(Plant_BD!$B:$B,$A136,Plant_BD!$AL:$AL)/($AA136+SUMIF(Plant_BD!$B:$B,$A136,Plant_BD!$AL:$AL))),"")</f>
        <v/>
      </c>
      <c r="P136" s="219"/>
      <c r="Q136" s="220" t="str">
        <f>IFERROR(1-(SUMIF(Grid_BD!$B:$B,$A136,Grid_BD!$V:$V)/($AA136+SUMIF(Grid_BD!$B:$B,$A136,Grid_BD!$V:$V))),"")</f>
        <v/>
      </c>
      <c r="R136" s="219" t="str">
        <f>IFERROR(1-(SUMIF(Grid_BD!$B:$B,$A136,Grid_BD!$V:$V)/($AA136+SUMIF(Grid_BD!$B:$B,$A136,Grid_BD!$V:$V))),"")</f>
        <v/>
      </c>
      <c r="S136" s="9"/>
      <c r="T136" s="220"/>
      <c r="U136" s="221" t="str">
        <f t="shared" si="11"/>
        <v/>
      </c>
      <c r="V136" s="221" t="str">
        <f>IFERROR(_xlfn.XLOOKUP($A136,Input_Raw!$A:$A,Input_Raw!$FG:$FG),"")</f>
        <v/>
      </c>
      <c r="W136" s="222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78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22">
        <f>IFERROR(_xlfn.XLOOKUP($D136,'Modelling New'!$D:$D,'Modelling New'!O:O),"")</f>
        <v>0.85441089246197577</v>
      </c>
      <c r="AF136" s="222">
        <f>IFERROR(_xlfn.XLOOKUP($D136,'Modelling New'!$D:$D,'Modelling New'!W:W),"")</f>
        <v>0.14182761454173928</v>
      </c>
      <c r="AG136" s="222">
        <f>IFERROR(_xlfn.XLOOKUP($D136,'Modelling New'!$D:$D,'Modelling New'!AE:AE),"")</f>
        <v>0.995</v>
      </c>
      <c r="AH136" s="222">
        <f>IFERROR(_xlfn.XLOOKUP($D136,'Modelling New'!$D:$D,'Modelling New'!AF:AF),"")</f>
        <v>0.995</v>
      </c>
      <c r="AI136" s="9"/>
      <c r="AJ136" s="9"/>
      <c r="AK136" s="245"/>
      <c r="AL136" s="245"/>
      <c r="AM136" s="245"/>
      <c r="AN136" s="219"/>
      <c r="AO136" s="222"/>
      <c r="AP136" s="222"/>
      <c r="AQ136" s="222"/>
      <c r="AR136" s="223">
        <f>_xlfn.XLOOKUP(D136,'Modelling New'!$D:$D,'Modelling New'!$N:$N)</f>
        <v>130</v>
      </c>
      <c r="AS136" s="223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18">
        <f>Table13[[#This Row],[Date]]-DAY(Table13[[#This Row],[Date]])+1</f>
        <v>45870</v>
      </c>
      <c r="E137" s="9">
        <f t="shared" si="10"/>
        <v>31</v>
      </c>
      <c r="F137" s="188" t="str">
        <f>IFERROR(_xlfn.XLOOKUP($A137,Input_Raw!$A:$A,Input_Raw!$FC:$FC),"")</f>
        <v/>
      </c>
      <c r="G137" s="178" t="str">
        <f>IFERROR(_xlfn.XLOOKUP($A137,Input_Raw!$A:$A,Input_Raw!$CY:$CY),"")</f>
        <v/>
      </c>
      <c r="H137" s="178" t="str">
        <f>IFERROR(_xlfn.XLOOKUP($A137,Input_Raw!$A:$A,Input_Raw!$DA:$DA),"")</f>
        <v/>
      </c>
      <c r="I137" s="178" t="str">
        <f>IFERROR(_xlfn.XLOOKUP($A137,Input_Raw!$A:$A,Input_Raw!$CX:$CX),"")</f>
        <v/>
      </c>
      <c r="J137" s="178" t="str">
        <f>IFERROR(_xlfn.XLOOKUP($A137,Input_Raw!$A:$A,Input_Raw!$CZ:$CZ),"")</f>
        <v/>
      </c>
      <c r="K137" s="190" t="str">
        <f>IFERROR(_xlfn.XLOOKUP($A137,Input_Raw!$A:$A,Input_Raw!$DB:$DB),"")</f>
        <v/>
      </c>
      <c r="L137" s="190" t="str">
        <f>IFERROR(_xlfn.XLOOKUP($A137,Input_Raw!$A:$A,Input_Raw!$DC:$DC),"")</f>
        <v/>
      </c>
      <c r="M137" s="189" t="str">
        <f>IFERROR(_xlfn.XLOOKUP($A137,Input_Raw!$A:$A,Input_Raw!$DF:$DF),"")</f>
        <v/>
      </c>
      <c r="N137" s="189" t="str">
        <f>IFERROR(_xlfn.XLOOKUP($A137,Input_Raw!$A:$A,Input_Raw!$DG:$DG),"")</f>
        <v/>
      </c>
      <c r="O137" s="219" t="str">
        <f>IFERROR(1-(SUMIF(Plant_BD!$B:$B,$A137,Plant_BD!$AL:$AL)/($AA137+SUMIF(Plant_BD!$B:$B,$A137,Plant_BD!$AL:$AL))),"")</f>
        <v/>
      </c>
      <c r="P137" s="219"/>
      <c r="Q137" s="220" t="str">
        <f>IFERROR(1-(SUMIF(Grid_BD!$B:$B,$A137,Grid_BD!$V:$V)/($AA137+SUMIF(Grid_BD!$B:$B,$A137,Grid_BD!$V:$V))),"")</f>
        <v/>
      </c>
      <c r="R137" s="219" t="str">
        <f>IFERROR(1-(SUMIF(Grid_BD!$B:$B,$A137,Grid_BD!$V:$V)/($AA137+SUMIF(Grid_BD!$B:$B,$A137,Grid_BD!$V:$V))),"")</f>
        <v/>
      </c>
      <c r="S137" s="9"/>
      <c r="T137" s="220"/>
      <c r="U137" s="221" t="str">
        <f t="shared" si="11"/>
        <v/>
      </c>
      <c r="V137" s="221" t="str">
        <f>IFERROR(_xlfn.XLOOKUP($A137,Input_Raw!$A:$A,Input_Raw!$FG:$FG),"")</f>
        <v/>
      </c>
      <c r="W137" s="222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78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22">
        <f>IFERROR(_xlfn.XLOOKUP($D137,'Modelling New'!$D:$D,'Modelling New'!O:O),"")</f>
        <v>0.85441089246197577</v>
      </c>
      <c r="AF137" s="222">
        <f>IFERROR(_xlfn.XLOOKUP($D137,'Modelling New'!$D:$D,'Modelling New'!W:W),"")</f>
        <v>0.14182761454173928</v>
      </c>
      <c r="AG137" s="222">
        <f>IFERROR(_xlfn.XLOOKUP($D137,'Modelling New'!$D:$D,'Modelling New'!AE:AE),"")</f>
        <v>0.995</v>
      </c>
      <c r="AH137" s="222">
        <f>IFERROR(_xlfn.XLOOKUP($D137,'Modelling New'!$D:$D,'Modelling New'!AF:AF),"")</f>
        <v>0.995</v>
      </c>
      <c r="AI137" s="9"/>
      <c r="AJ137" s="9"/>
      <c r="AK137" s="245"/>
      <c r="AL137" s="245"/>
      <c r="AM137" s="245"/>
      <c r="AN137" s="219"/>
      <c r="AO137" s="222"/>
      <c r="AP137" s="222"/>
      <c r="AQ137" s="222"/>
      <c r="AR137" s="223">
        <f>_xlfn.XLOOKUP(D137,'Modelling New'!$D:$D,'Modelling New'!$N:$N)</f>
        <v>130</v>
      </c>
      <c r="AS137" s="223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18">
        <f>Table13[[#This Row],[Date]]-DAY(Table13[[#This Row],[Date]])+1</f>
        <v>45870</v>
      </c>
      <c r="E138" s="9">
        <f t="shared" si="10"/>
        <v>31</v>
      </c>
      <c r="F138" s="188" t="str">
        <f>IFERROR(_xlfn.XLOOKUP($A138,Input_Raw!$A:$A,Input_Raw!$FC:$FC),"")</f>
        <v/>
      </c>
      <c r="G138" s="189" t="str">
        <f>IFERROR(_xlfn.XLOOKUP($A138,Input_Raw!$A:$A,Input_Raw!$CY:$CY),"")</f>
        <v/>
      </c>
      <c r="H138" s="189" t="str">
        <f>IFERROR(_xlfn.XLOOKUP($A138,Input_Raw!$A:$A,Input_Raw!$DA:$DA),"")</f>
        <v/>
      </c>
      <c r="I138" s="189" t="str">
        <f>IFERROR(_xlfn.XLOOKUP($A138,Input_Raw!$A:$A,Input_Raw!$CX:$CX),"")</f>
        <v/>
      </c>
      <c r="J138" s="189" t="str">
        <f>IFERROR(_xlfn.XLOOKUP($A138,Input_Raw!$A:$A,Input_Raw!$CZ:$CZ),"")</f>
        <v/>
      </c>
      <c r="K138" s="190" t="str">
        <f>IFERROR(_xlfn.XLOOKUP($A138,Input_Raw!$A:$A,Input_Raw!$DB:$DB),"")</f>
        <v/>
      </c>
      <c r="L138" s="190" t="str">
        <f>IFERROR(_xlfn.XLOOKUP($A138,Input_Raw!$A:$A,Input_Raw!$DC:$DC),"")</f>
        <v/>
      </c>
      <c r="M138" s="189" t="str">
        <f>IFERROR(_xlfn.XLOOKUP($A138,Input_Raw!$A:$A,Input_Raw!$DF:$DF),"")</f>
        <v/>
      </c>
      <c r="N138" s="189" t="str">
        <f>IFERROR(_xlfn.XLOOKUP($A138,Input_Raw!$A:$A,Input_Raw!$DG:$DG),"")</f>
        <v/>
      </c>
      <c r="O138" s="219" t="str">
        <f>IFERROR(1-(SUMIF(Plant_BD!$B:$B,$A138,Plant_BD!$AL:$AL)/($AA138+SUMIF(Plant_BD!$B:$B,$A138,Plant_BD!$AL:$AL))),"")</f>
        <v/>
      </c>
      <c r="P138" s="219"/>
      <c r="Q138" s="220" t="str">
        <f>IFERROR(1-(SUMIF(Grid_BD!$B:$B,$A138,Grid_BD!$V:$V)/($AA138+SUMIF(Grid_BD!$B:$B,$A138,Grid_BD!$V:$V))),"")</f>
        <v/>
      </c>
      <c r="R138" s="219" t="str">
        <f>IFERROR(1-(SUMIF(Grid_BD!$B:$B,$A138,Grid_BD!$V:$V)/($AA138+SUMIF(Grid_BD!$B:$B,$A138,Grid_BD!$V:$V))),"")</f>
        <v/>
      </c>
      <c r="S138" s="9"/>
      <c r="T138" s="220"/>
      <c r="U138" s="221" t="str">
        <f t="shared" si="11"/>
        <v/>
      </c>
      <c r="V138" s="221" t="str">
        <f>IFERROR(_xlfn.XLOOKUP($A138,Input_Raw!$A:$A,Input_Raw!$FG:$FG),"")</f>
        <v/>
      </c>
      <c r="W138" s="222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78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22">
        <f>IFERROR(_xlfn.XLOOKUP($D138,'Modelling New'!$D:$D,'Modelling New'!O:O),"")</f>
        <v>0.85441089246197577</v>
      </c>
      <c r="AF138" s="222">
        <f>IFERROR(_xlfn.XLOOKUP($D138,'Modelling New'!$D:$D,'Modelling New'!W:W),"")</f>
        <v>0.14182761454173928</v>
      </c>
      <c r="AG138" s="222">
        <f>IFERROR(_xlfn.XLOOKUP($D138,'Modelling New'!$D:$D,'Modelling New'!AE:AE),"")</f>
        <v>0.995</v>
      </c>
      <c r="AH138" s="222">
        <f>IFERROR(_xlfn.XLOOKUP($D138,'Modelling New'!$D:$D,'Modelling New'!AF:AF),"")</f>
        <v>0.995</v>
      </c>
      <c r="AI138" s="9"/>
      <c r="AJ138" s="9"/>
      <c r="AK138" s="245"/>
      <c r="AL138" s="245"/>
      <c r="AM138" s="245"/>
      <c r="AN138" s="219"/>
      <c r="AO138" s="222"/>
      <c r="AP138" s="222"/>
      <c r="AQ138" s="222"/>
      <c r="AR138" s="223">
        <f>_xlfn.XLOOKUP(D138,'Modelling New'!$D:$D,'Modelling New'!$N:$N)</f>
        <v>130</v>
      </c>
      <c r="AS138" s="223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18">
        <f>Table13[[#This Row],[Date]]-DAY(Table13[[#This Row],[Date]])+1</f>
        <v>45870</v>
      </c>
      <c r="E139" s="9">
        <f t="shared" si="10"/>
        <v>31</v>
      </c>
      <c r="F139" s="188" t="str">
        <f>IFERROR(_xlfn.XLOOKUP($A139,Input_Raw!$A:$A,Input_Raw!$FC:$FC),"")</f>
        <v/>
      </c>
      <c r="G139" s="178" t="str">
        <f>IFERROR(_xlfn.XLOOKUP($A139,Input_Raw!$A:$A,Input_Raw!$CY:$CY),"")</f>
        <v/>
      </c>
      <c r="H139" s="178" t="str">
        <f>IFERROR(_xlfn.XLOOKUP($A139,Input_Raw!$A:$A,Input_Raw!$DA:$DA),"")</f>
        <v/>
      </c>
      <c r="I139" s="178" t="str">
        <f>IFERROR(_xlfn.XLOOKUP($A139,Input_Raw!$A:$A,Input_Raw!$CX:$CX),"")</f>
        <v/>
      </c>
      <c r="J139" s="178" t="str">
        <f>IFERROR(_xlfn.XLOOKUP($A139,Input_Raw!$A:$A,Input_Raw!$CZ:$CZ),"")</f>
        <v/>
      </c>
      <c r="K139" s="190" t="str">
        <f>IFERROR(_xlfn.XLOOKUP($A139,Input_Raw!$A:$A,Input_Raw!$DB:$DB),"")</f>
        <v/>
      </c>
      <c r="L139" s="190" t="str">
        <f>IFERROR(_xlfn.XLOOKUP($A139,Input_Raw!$A:$A,Input_Raw!$DC:$DC),"")</f>
        <v/>
      </c>
      <c r="M139" s="189" t="str">
        <f>IFERROR(_xlfn.XLOOKUP($A139,Input_Raw!$A:$A,Input_Raw!$DF:$DF),"")</f>
        <v/>
      </c>
      <c r="N139" s="189" t="str">
        <f>IFERROR(_xlfn.XLOOKUP($A139,Input_Raw!$A:$A,Input_Raw!$DG:$DG),"")</f>
        <v/>
      </c>
      <c r="O139" s="219" t="str">
        <f>IFERROR(1-(SUMIF(Plant_BD!$B:$B,$A139,Plant_BD!$AL:$AL)/($AA139+SUMIF(Plant_BD!$B:$B,$A139,Plant_BD!$AL:$AL))),"")</f>
        <v/>
      </c>
      <c r="P139" s="219"/>
      <c r="Q139" s="220" t="str">
        <f>IFERROR(1-(SUMIF(Grid_BD!$B:$B,$A139,Grid_BD!$V:$V)/($AA139+SUMIF(Grid_BD!$B:$B,$A139,Grid_BD!$V:$V))),"")</f>
        <v/>
      </c>
      <c r="R139" s="219" t="str">
        <f>IFERROR(1-(SUMIF(Grid_BD!$B:$B,$A139,Grid_BD!$V:$V)/($AA139+SUMIF(Grid_BD!$B:$B,$A139,Grid_BD!$V:$V))),"")</f>
        <v/>
      </c>
      <c r="S139" s="9"/>
      <c r="T139" s="220"/>
      <c r="U139" s="221" t="str">
        <f t="shared" si="11"/>
        <v/>
      </c>
      <c r="V139" s="221" t="str">
        <f>IFERROR(_xlfn.XLOOKUP($A139,Input_Raw!$A:$A,Input_Raw!$FG:$FG),"")</f>
        <v/>
      </c>
      <c r="W139" s="222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78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22">
        <f>IFERROR(_xlfn.XLOOKUP($D139,'Modelling New'!$D:$D,'Modelling New'!O:O),"")</f>
        <v>0.85441089246197577</v>
      </c>
      <c r="AF139" s="222">
        <f>IFERROR(_xlfn.XLOOKUP($D139,'Modelling New'!$D:$D,'Modelling New'!W:W),"")</f>
        <v>0.14182761454173928</v>
      </c>
      <c r="AG139" s="222">
        <f>IFERROR(_xlfn.XLOOKUP($D139,'Modelling New'!$D:$D,'Modelling New'!AE:AE),"")</f>
        <v>0.995</v>
      </c>
      <c r="AH139" s="222">
        <f>IFERROR(_xlfn.XLOOKUP($D139,'Modelling New'!$D:$D,'Modelling New'!AF:AF),"")</f>
        <v>0.995</v>
      </c>
      <c r="AI139" s="9"/>
      <c r="AJ139" s="9"/>
      <c r="AK139" s="245"/>
      <c r="AL139" s="245"/>
      <c r="AM139" s="245"/>
      <c r="AN139" s="219"/>
      <c r="AO139" s="222"/>
      <c r="AP139" s="222"/>
      <c r="AQ139" s="222"/>
      <c r="AR139" s="223">
        <f>_xlfn.XLOOKUP(D139,'Modelling New'!$D:$D,'Modelling New'!$N:$N)</f>
        <v>130</v>
      </c>
      <c r="AS139" s="223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18">
        <f>Table13[[#This Row],[Date]]-DAY(Table13[[#This Row],[Date]])+1</f>
        <v>45870</v>
      </c>
      <c r="E140" s="9">
        <f t="shared" si="10"/>
        <v>31</v>
      </c>
      <c r="F140" s="188" t="str">
        <f>IFERROR(_xlfn.XLOOKUP($A140,Input_Raw!$A:$A,Input_Raw!$FC:$FC),"")</f>
        <v/>
      </c>
      <c r="G140" s="189" t="str">
        <f>IFERROR(_xlfn.XLOOKUP($A140,Input_Raw!$A:$A,Input_Raw!$CY:$CY),"")</f>
        <v/>
      </c>
      <c r="H140" s="189" t="str">
        <f>IFERROR(_xlfn.XLOOKUP($A140,Input_Raw!$A:$A,Input_Raw!$DA:$DA),"")</f>
        <v/>
      </c>
      <c r="I140" s="189" t="str">
        <f>IFERROR(_xlfn.XLOOKUP($A140,Input_Raw!$A:$A,Input_Raw!$CX:$CX),"")</f>
        <v/>
      </c>
      <c r="J140" s="189" t="str">
        <f>IFERROR(_xlfn.XLOOKUP($A140,Input_Raw!$A:$A,Input_Raw!$CZ:$CZ),"")</f>
        <v/>
      </c>
      <c r="K140" s="190" t="str">
        <f>IFERROR(_xlfn.XLOOKUP($A140,Input_Raw!$A:$A,Input_Raw!$DB:$DB),"")</f>
        <v/>
      </c>
      <c r="L140" s="190" t="str">
        <f>IFERROR(_xlfn.XLOOKUP($A140,Input_Raw!$A:$A,Input_Raw!$DC:$DC),"")</f>
        <v/>
      </c>
      <c r="M140" s="189" t="str">
        <f>IFERROR(_xlfn.XLOOKUP($A140,Input_Raw!$A:$A,Input_Raw!$DF:$DF),"")</f>
        <v/>
      </c>
      <c r="N140" s="189" t="str">
        <f>IFERROR(_xlfn.XLOOKUP($A140,Input_Raw!$A:$A,Input_Raw!$DG:$DG),"")</f>
        <v/>
      </c>
      <c r="O140" s="219" t="str">
        <f>IFERROR(1-(SUMIF(Plant_BD!$B:$B,$A140,Plant_BD!$AL:$AL)/($AA140+SUMIF(Plant_BD!$B:$B,$A140,Plant_BD!$AL:$AL))),"")</f>
        <v/>
      </c>
      <c r="P140" s="219"/>
      <c r="Q140" s="220" t="str">
        <f>IFERROR(1-(SUMIF(Grid_BD!$B:$B,$A140,Grid_BD!$V:$V)/($AA140+SUMIF(Grid_BD!$B:$B,$A140,Grid_BD!$V:$V))),"")</f>
        <v/>
      </c>
      <c r="R140" s="219" t="str">
        <f>IFERROR(1-(SUMIF(Grid_BD!$B:$B,$A140,Grid_BD!$V:$V)/($AA140+SUMIF(Grid_BD!$B:$B,$A140,Grid_BD!$V:$V))),"")</f>
        <v/>
      </c>
      <c r="S140" s="9"/>
      <c r="T140" s="220"/>
      <c r="U140" s="221" t="str">
        <f t="shared" si="11"/>
        <v/>
      </c>
      <c r="V140" s="221" t="str">
        <f>IFERROR(_xlfn.XLOOKUP($A140,Input_Raw!$A:$A,Input_Raw!$FG:$FG),"")</f>
        <v/>
      </c>
      <c r="W140" s="222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78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22">
        <f>IFERROR(_xlfn.XLOOKUP($D140,'Modelling New'!$D:$D,'Modelling New'!O:O),"")</f>
        <v>0.85441089246197577</v>
      </c>
      <c r="AF140" s="222">
        <f>IFERROR(_xlfn.XLOOKUP($D140,'Modelling New'!$D:$D,'Modelling New'!W:W),"")</f>
        <v>0.14182761454173928</v>
      </c>
      <c r="AG140" s="222">
        <f>IFERROR(_xlfn.XLOOKUP($D140,'Modelling New'!$D:$D,'Modelling New'!AE:AE),"")</f>
        <v>0.995</v>
      </c>
      <c r="AH140" s="222">
        <f>IFERROR(_xlfn.XLOOKUP($D140,'Modelling New'!$D:$D,'Modelling New'!AF:AF),"")</f>
        <v>0.995</v>
      </c>
      <c r="AI140" s="9"/>
      <c r="AJ140" s="9"/>
      <c r="AK140" s="245"/>
      <c r="AL140" s="245"/>
      <c r="AM140" s="245"/>
      <c r="AN140" s="219"/>
      <c r="AO140" s="222"/>
      <c r="AP140" s="222"/>
      <c r="AQ140" s="222"/>
      <c r="AR140" s="223">
        <f>_xlfn.XLOOKUP(D140,'Modelling New'!$D:$D,'Modelling New'!$N:$N)</f>
        <v>130</v>
      </c>
      <c r="AS140" s="223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18">
        <f>Table13[[#This Row],[Date]]-DAY(Table13[[#This Row],[Date]])+1</f>
        <v>45870</v>
      </c>
      <c r="E141" s="9">
        <f t="shared" si="10"/>
        <v>31</v>
      </c>
      <c r="F141" s="188" t="str">
        <f>IFERROR(_xlfn.XLOOKUP($A141,Input_Raw!$A:$A,Input_Raw!$FC:$FC),"")</f>
        <v/>
      </c>
      <c r="G141" s="178" t="str">
        <f>IFERROR(_xlfn.XLOOKUP($A141,Input_Raw!$A:$A,Input_Raw!$CY:$CY),"")</f>
        <v/>
      </c>
      <c r="H141" s="178" t="str">
        <f>IFERROR(_xlfn.XLOOKUP($A141,Input_Raw!$A:$A,Input_Raw!$DA:$DA),"")</f>
        <v/>
      </c>
      <c r="I141" s="178" t="str">
        <f>IFERROR(_xlfn.XLOOKUP($A141,Input_Raw!$A:$A,Input_Raw!$CX:$CX),"")</f>
        <v/>
      </c>
      <c r="J141" s="178" t="str">
        <f>IFERROR(_xlfn.XLOOKUP($A141,Input_Raw!$A:$A,Input_Raw!$CZ:$CZ),"")</f>
        <v/>
      </c>
      <c r="K141" s="190" t="str">
        <f>IFERROR(_xlfn.XLOOKUP($A141,Input_Raw!$A:$A,Input_Raw!$DB:$DB),"")</f>
        <v/>
      </c>
      <c r="L141" s="190" t="str">
        <f>IFERROR(_xlfn.XLOOKUP($A141,Input_Raw!$A:$A,Input_Raw!$DC:$DC),"")</f>
        <v/>
      </c>
      <c r="M141" s="189" t="str">
        <f>IFERROR(_xlfn.XLOOKUP($A141,Input_Raw!$A:$A,Input_Raw!$DF:$DF),"")</f>
        <v/>
      </c>
      <c r="N141" s="189" t="str">
        <f>IFERROR(_xlfn.XLOOKUP($A141,Input_Raw!$A:$A,Input_Raw!$DG:$DG),"")</f>
        <v/>
      </c>
      <c r="O141" s="219" t="str">
        <f>IFERROR(1-(SUMIF(Plant_BD!$B:$B,$A141,Plant_BD!$AL:$AL)/($AA141+SUMIF(Plant_BD!$B:$B,$A141,Plant_BD!$AL:$AL))),"")</f>
        <v/>
      </c>
      <c r="P141" s="219"/>
      <c r="Q141" s="220" t="str">
        <f>IFERROR(1-(SUMIF(Grid_BD!$B:$B,$A141,Grid_BD!$V:$V)/($AA141+SUMIF(Grid_BD!$B:$B,$A141,Grid_BD!$V:$V))),"")</f>
        <v/>
      </c>
      <c r="R141" s="219" t="str">
        <f>IFERROR(1-(SUMIF(Grid_BD!$B:$B,$A141,Grid_BD!$V:$V)/($AA141+SUMIF(Grid_BD!$B:$B,$A141,Grid_BD!$V:$V))),"")</f>
        <v/>
      </c>
      <c r="S141" s="9"/>
      <c r="T141" s="220"/>
      <c r="U141" s="221" t="str">
        <f t="shared" si="11"/>
        <v/>
      </c>
      <c r="V141" s="221" t="str">
        <f>IFERROR(_xlfn.XLOOKUP($A141,Input_Raw!$A:$A,Input_Raw!$FG:$FG),"")</f>
        <v/>
      </c>
      <c r="W141" s="222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78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22">
        <f>IFERROR(_xlfn.XLOOKUP($D141,'Modelling New'!$D:$D,'Modelling New'!O:O),"")</f>
        <v>0.85441089246197577</v>
      </c>
      <c r="AF141" s="222">
        <f>IFERROR(_xlfn.XLOOKUP($D141,'Modelling New'!$D:$D,'Modelling New'!W:W),"")</f>
        <v>0.14182761454173928</v>
      </c>
      <c r="AG141" s="222">
        <f>IFERROR(_xlfn.XLOOKUP($D141,'Modelling New'!$D:$D,'Modelling New'!AE:AE),"")</f>
        <v>0.995</v>
      </c>
      <c r="AH141" s="222">
        <f>IFERROR(_xlfn.XLOOKUP($D141,'Modelling New'!$D:$D,'Modelling New'!AF:AF),"")</f>
        <v>0.995</v>
      </c>
      <c r="AI141" s="9"/>
      <c r="AJ141" s="9"/>
      <c r="AK141" s="245"/>
      <c r="AL141" s="245"/>
      <c r="AM141" s="245"/>
      <c r="AN141" s="219"/>
      <c r="AO141" s="222"/>
      <c r="AP141" s="222"/>
      <c r="AQ141" s="222"/>
      <c r="AR141" s="223">
        <f>_xlfn.XLOOKUP(D141,'Modelling New'!$D:$D,'Modelling New'!$N:$N)</f>
        <v>130</v>
      </c>
      <c r="AS141" s="223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18">
        <f>Table13[[#This Row],[Date]]-DAY(Table13[[#This Row],[Date]])+1</f>
        <v>45870</v>
      </c>
      <c r="E142" s="9">
        <f t="shared" si="10"/>
        <v>31</v>
      </c>
      <c r="F142" s="188" t="str">
        <f>IFERROR(_xlfn.XLOOKUP($A142,Input_Raw!$A:$A,Input_Raw!$FC:$FC),"")</f>
        <v/>
      </c>
      <c r="G142" s="189" t="str">
        <f>IFERROR(_xlfn.XLOOKUP($A142,Input_Raw!$A:$A,Input_Raw!$CY:$CY),"")</f>
        <v/>
      </c>
      <c r="H142" s="189" t="str">
        <f>IFERROR(_xlfn.XLOOKUP($A142,Input_Raw!$A:$A,Input_Raw!$DA:$DA),"")</f>
        <v/>
      </c>
      <c r="I142" s="189" t="str">
        <f>IFERROR(_xlfn.XLOOKUP($A142,Input_Raw!$A:$A,Input_Raw!$CX:$CX),"")</f>
        <v/>
      </c>
      <c r="J142" s="189" t="str">
        <f>IFERROR(_xlfn.XLOOKUP($A142,Input_Raw!$A:$A,Input_Raw!$CZ:$CZ),"")</f>
        <v/>
      </c>
      <c r="K142" s="190" t="str">
        <f>IFERROR(_xlfn.XLOOKUP($A142,Input_Raw!$A:$A,Input_Raw!$DB:$DB),"")</f>
        <v/>
      </c>
      <c r="L142" s="190" t="str">
        <f>IFERROR(_xlfn.XLOOKUP($A142,Input_Raw!$A:$A,Input_Raw!$DC:$DC),"")</f>
        <v/>
      </c>
      <c r="M142" s="189" t="str">
        <f>IFERROR(_xlfn.XLOOKUP($A142,Input_Raw!$A:$A,Input_Raw!$DF:$DF),"")</f>
        <v/>
      </c>
      <c r="N142" s="189" t="str">
        <f>IFERROR(_xlfn.XLOOKUP($A142,Input_Raw!$A:$A,Input_Raw!$DG:$DG),"")</f>
        <v/>
      </c>
      <c r="O142" s="219" t="str">
        <f>IFERROR(1-(SUMIF(Plant_BD!$B:$B,$A142,Plant_BD!$AL:$AL)/($AA142+SUMIF(Plant_BD!$B:$B,$A142,Plant_BD!$AL:$AL))),"")</f>
        <v/>
      </c>
      <c r="P142" s="219"/>
      <c r="Q142" s="220" t="str">
        <f>IFERROR(1-(SUMIF(Grid_BD!$B:$B,$A142,Grid_BD!$V:$V)/($AA142+SUMIF(Grid_BD!$B:$B,$A142,Grid_BD!$V:$V))),"")</f>
        <v/>
      </c>
      <c r="R142" s="219" t="str">
        <f>IFERROR(1-(SUMIF(Grid_BD!$B:$B,$A142,Grid_BD!$V:$V)/($AA142+SUMIF(Grid_BD!$B:$B,$A142,Grid_BD!$V:$V))),"")</f>
        <v/>
      </c>
      <c r="S142" s="9"/>
      <c r="T142" s="220"/>
      <c r="U142" s="221" t="str">
        <f t="shared" si="11"/>
        <v/>
      </c>
      <c r="V142" s="221" t="str">
        <f>IFERROR(_xlfn.XLOOKUP($A142,Input_Raw!$A:$A,Input_Raw!$FG:$FG),"")</f>
        <v/>
      </c>
      <c r="W142" s="222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78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22">
        <f>IFERROR(_xlfn.XLOOKUP($D142,'Modelling New'!$D:$D,'Modelling New'!O:O),"")</f>
        <v>0.85441089246197577</v>
      </c>
      <c r="AF142" s="222">
        <f>IFERROR(_xlfn.XLOOKUP($D142,'Modelling New'!$D:$D,'Modelling New'!W:W),"")</f>
        <v>0.14182761454173928</v>
      </c>
      <c r="AG142" s="222">
        <f>IFERROR(_xlfn.XLOOKUP($D142,'Modelling New'!$D:$D,'Modelling New'!AE:AE),"")</f>
        <v>0.995</v>
      </c>
      <c r="AH142" s="222">
        <f>IFERROR(_xlfn.XLOOKUP($D142,'Modelling New'!$D:$D,'Modelling New'!AF:AF),"")</f>
        <v>0.995</v>
      </c>
      <c r="AI142" s="9"/>
      <c r="AJ142" s="9"/>
      <c r="AK142" s="245"/>
      <c r="AL142" s="245"/>
      <c r="AM142" s="245"/>
      <c r="AN142" s="219"/>
      <c r="AO142" s="222"/>
      <c r="AP142" s="222"/>
      <c r="AQ142" s="222"/>
      <c r="AR142" s="223">
        <f>_xlfn.XLOOKUP(D142,'Modelling New'!$D:$D,'Modelling New'!$N:$N)</f>
        <v>130</v>
      </c>
      <c r="AS142" s="223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18">
        <f>Table13[[#This Row],[Date]]-DAY(Table13[[#This Row],[Date]])+1</f>
        <v>45870</v>
      </c>
      <c r="E143" s="9">
        <f t="shared" si="10"/>
        <v>31</v>
      </c>
      <c r="F143" s="188" t="str">
        <f>IFERROR(_xlfn.XLOOKUP($A143,Input_Raw!$A:$A,Input_Raw!$FC:$FC),"")</f>
        <v/>
      </c>
      <c r="G143" s="178" t="str">
        <f>IFERROR(_xlfn.XLOOKUP($A143,Input_Raw!$A:$A,Input_Raw!$CY:$CY),"")</f>
        <v/>
      </c>
      <c r="H143" s="178" t="str">
        <f>IFERROR(_xlfn.XLOOKUP($A143,Input_Raw!$A:$A,Input_Raw!$DA:$DA),"")</f>
        <v/>
      </c>
      <c r="I143" s="178" t="str">
        <f>IFERROR(_xlfn.XLOOKUP($A143,Input_Raw!$A:$A,Input_Raw!$CX:$CX),"")</f>
        <v/>
      </c>
      <c r="J143" s="178" t="str">
        <f>IFERROR(_xlfn.XLOOKUP($A143,Input_Raw!$A:$A,Input_Raw!$CZ:$CZ),"")</f>
        <v/>
      </c>
      <c r="K143" s="190" t="str">
        <f>IFERROR(_xlfn.XLOOKUP($A143,Input_Raw!$A:$A,Input_Raw!$DB:$DB),"")</f>
        <v/>
      </c>
      <c r="L143" s="190" t="str">
        <f>IFERROR(_xlfn.XLOOKUP($A143,Input_Raw!$A:$A,Input_Raw!$DC:$DC),"")</f>
        <v/>
      </c>
      <c r="M143" s="189" t="str">
        <f>IFERROR(_xlfn.XLOOKUP($A143,Input_Raw!$A:$A,Input_Raw!$DF:$DF),"")</f>
        <v/>
      </c>
      <c r="N143" s="189" t="str">
        <f>IFERROR(_xlfn.XLOOKUP($A143,Input_Raw!$A:$A,Input_Raw!$DG:$DG),"")</f>
        <v/>
      </c>
      <c r="O143" s="219" t="str">
        <f>IFERROR(1-(SUMIF(Plant_BD!$B:$B,$A143,Plant_BD!$AL:$AL)/($AA143+SUMIF(Plant_BD!$B:$B,$A143,Plant_BD!$AL:$AL))),"")</f>
        <v/>
      </c>
      <c r="P143" s="219"/>
      <c r="Q143" s="220" t="str">
        <f>IFERROR(1-(SUMIF(Grid_BD!$B:$B,$A143,Grid_BD!$V:$V)/($AA143+SUMIF(Grid_BD!$B:$B,$A143,Grid_BD!$V:$V))),"")</f>
        <v/>
      </c>
      <c r="R143" s="219" t="str">
        <f>IFERROR(1-(SUMIF(Grid_BD!$B:$B,$A143,Grid_BD!$V:$V)/($AA143+SUMIF(Grid_BD!$B:$B,$A143,Grid_BD!$V:$V))),"")</f>
        <v/>
      </c>
      <c r="S143" s="9"/>
      <c r="T143" s="220"/>
      <c r="U143" s="221" t="str">
        <f t="shared" si="11"/>
        <v/>
      </c>
      <c r="V143" s="221" t="str">
        <f>IFERROR(_xlfn.XLOOKUP($A143,Input_Raw!$A:$A,Input_Raw!$FG:$FG),"")</f>
        <v/>
      </c>
      <c r="W143" s="222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78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22">
        <f>IFERROR(_xlfn.XLOOKUP($D143,'Modelling New'!$D:$D,'Modelling New'!O:O),"")</f>
        <v>0.85441089246197577</v>
      </c>
      <c r="AF143" s="222">
        <f>IFERROR(_xlfn.XLOOKUP($D143,'Modelling New'!$D:$D,'Modelling New'!W:W),"")</f>
        <v>0.14182761454173928</v>
      </c>
      <c r="AG143" s="222">
        <f>IFERROR(_xlfn.XLOOKUP($D143,'Modelling New'!$D:$D,'Modelling New'!AE:AE),"")</f>
        <v>0.995</v>
      </c>
      <c r="AH143" s="222">
        <f>IFERROR(_xlfn.XLOOKUP($D143,'Modelling New'!$D:$D,'Modelling New'!AF:AF),"")</f>
        <v>0.995</v>
      </c>
      <c r="AI143" s="9"/>
      <c r="AJ143" s="9"/>
      <c r="AK143" s="245"/>
      <c r="AL143" s="245"/>
      <c r="AM143" s="245"/>
      <c r="AN143" s="219"/>
      <c r="AO143" s="222"/>
      <c r="AP143" s="222"/>
      <c r="AQ143" s="222"/>
      <c r="AR143" s="223">
        <f>_xlfn.XLOOKUP(D143,'Modelling New'!$D:$D,'Modelling New'!$N:$N)</f>
        <v>130</v>
      </c>
      <c r="AS143" s="223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18">
        <f>Table13[[#This Row],[Date]]-DAY(Table13[[#This Row],[Date]])+1</f>
        <v>45870</v>
      </c>
      <c r="E144" s="9">
        <f t="shared" si="10"/>
        <v>31</v>
      </c>
      <c r="F144" s="188" t="str">
        <f>IFERROR(_xlfn.XLOOKUP($A144,Input_Raw!$A:$A,Input_Raw!$FC:$FC),"")</f>
        <v/>
      </c>
      <c r="G144" s="189" t="str">
        <f>IFERROR(_xlfn.XLOOKUP($A144,Input_Raw!$A:$A,Input_Raw!$CY:$CY),"")</f>
        <v/>
      </c>
      <c r="H144" s="189" t="str">
        <f>IFERROR(_xlfn.XLOOKUP($A144,Input_Raw!$A:$A,Input_Raw!$DA:$DA),"")</f>
        <v/>
      </c>
      <c r="I144" s="189" t="str">
        <f>IFERROR(_xlfn.XLOOKUP($A144,Input_Raw!$A:$A,Input_Raw!$CX:$CX),"")</f>
        <v/>
      </c>
      <c r="J144" s="189" t="str">
        <f>IFERROR(_xlfn.XLOOKUP($A144,Input_Raw!$A:$A,Input_Raw!$CZ:$CZ),"")</f>
        <v/>
      </c>
      <c r="K144" s="190" t="str">
        <f>IFERROR(_xlfn.XLOOKUP($A144,Input_Raw!$A:$A,Input_Raw!$DB:$DB),"")</f>
        <v/>
      </c>
      <c r="L144" s="190" t="str">
        <f>IFERROR(_xlfn.XLOOKUP($A144,Input_Raw!$A:$A,Input_Raw!$DC:$DC),"")</f>
        <v/>
      </c>
      <c r="M144" s="189" t="str">
        <f>IFERROR(_xlfn.XLOOKUP($A144,Input_Raw!$A:$A,Input_Raw!$DF:$DF),"")</f>
        <v/>
      </c>
      <c r="N144" s="189" t="str">
        <f>IFERROR(_xlfn.XLOOKUP($A144,Input_Raw!$A:$A,Input_Raw!$DG:$DG),"")</f>
        <v/>
      </c>
      <c r="O144" s="219" t="str">
        <f>IFERROR(1-(SUMIF(Plant_BD!$B:$B,$A144,Plant_BD!$AL:$AL)/($AA144+SUMIF(Plant_BD!$B:$B,$A144,Plant_BD!$AL:$AL))),"")</f>
        <v/>
      </c>
      <c r="P144" s="219"/>
      <c r="Q144" s="220" t="str">
        <f>IFERROR(1-(SUMIF(Grid_BD!$B:$B,$A144,Grid_BD!$V:$V)/($AA144+SUMIF(Grid_BD!$B:$B,$A144,Grid_BD!$V:$V))),"")</f>
        <v/>
      </c>
      <c r="R144" s="219" t="str">
        <f>IFERROR(1-(SUMIF(Grid_BD!$B:$B,$A144,Grid_BD!$V:$V)/($AA144+SUMIF(Grid_BD!$B:$B,$A144,Grid_BD!$V:$V))),"")</f>
        <v/>
      </c>
      <c r="S144" s="9"/>
      <c r="T144" s="220"/>
      <c r="U144" s="221" t="str">
        <f t="shared" si="11"/>
        <v/>
      </c>
      <c r="V144" s="221" t="str">
        <f>IFERROR(_xlfn.XLOOKUP($A144,Input_Raw!$A:$A,Input_Raw!$FG:$FG),"")</f>
        <v/>
      </c>
      <c r="W144" s="222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78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22">
        <f>IFERROR(_xlfn.XLOOKUP($D144,'Modelling New'!$D:$D,'Modelling New'!O:O),"")</f>
        <v>0.85441089246197577</v>
      </c>
      <c r="AF144" s="222">
        <f>IFERROR(_xlfn.XLOOKUP($D144,'Modelling New'!$D:$D,'Modelling New'!W:W),"")</f>
        <v>0.14182761454173928</v>
      </c>
      <c r="AG144" s="222">
        <f>IFERROR(_xlfn.XLOOKUP($D144,'Modelling New'!$D:$D,'Modelling New'!AE:AE),"")</f>
        <v>0.995</v>
      </c>
      <c r="AH144" s="222">
        <f>IFERROR(_xlfn.XLOOKUP($D144,'Modelling New'!$D:$D,'Modelling New'!AF:AF),"")</f>
        <v>0.995</v>
      </c>
      <c r="AI144" s="9"/>
      <c r="AJ144" s="9"/>
      <c r="AK144" s="245"/>
      <c r="AL144" s="245"/>
      <c r="AM144" s="245"/>
      <c r="AN144" s="219"/>
      <c r="AO144" s="222"/>
      <c r="AP144" s="222"/>
      <c r="AQ144" s="222"/>
      <c r="AR144" s="223">
        <f>_xlfn.XLOOKUP(D144,'Modelling New'!$D:$D,'Modelling New'!$N:$N)</f>
        <v>130</v>
      </c>
      <c r="AS144" s="223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18">
        <f>Table13[[#This Row],[Date]]-DAY(Table13[[#This Row],[Date]])+1</f>
        <v>45870</v>
      </c>
      <c r="E145" s="9">
        <f t="shared" si="10"/>
        <v>31</v>
      </c>
      <c r="F145" s="188" t="str">
        <f>IFERROR(_xlfn.XLOOKUP($A145,Input_Raw!$A:$A,Input_Raw!$FC:$FC),"")</f>
        <v/>
      </c>
      <c r="G145" s="178" t="str">
        <f>IFERROR(_xlfn.XLOOKUP($A145,Input_Raw!$A:$A,Input_Raw!$CY:$CY),"")</f>
        <v/>
      </c>
      <c r="H145" s="178" t="str">
        <f>IFERROR(_xlfn.XLOOKUP($A145,Input_Raw!$A:$A,Input_Raw!$DA:$DA),"")</f>
        <v/>
      </c>
      <c r="I145" s="178" t="str">
        <f>IFERROR(_xlfn.XLOOKUP($A145,Input_Raw!$A:$A,Input_Raw!$CX:$CX),"")</f>
        <v/>
      </c>
      <c r="J145" s="178" t="str">
        <f>IFERROR(_xlfn.XLOOKUP($A145,Input_Raw!$A:$A,Input_Raw!$CZ:$CZ),"")</f>
        <v/>
      </c>
      <c r="K145" s="190" t="str">
        <f>IFERROR(_xlfn.XLOOKUP($A145,Input_Raw!$A:$A,Input_Raw!$DB:$DB),"")</f>
        <v/>
      </c>
      <c r="L145" s="190" t="str">
        <f>IFERROR(_xlfn.XLOOKUP($A145,Input_Raw!$A:$A,Input_Raw!$DC:$DC),"")</f>
        <v/>
      </c>
      <c r="M145" s="189" t="str">
        <f>IFERROR(_xlfn.XLOOKUP($A145,Input_Raw!$A:$A,Input_Raw!$DF:$DF),"")</f>
        <v/>
      </c>
      <c r="N145" s="189" t="str">
        <f>IFERROR(_xlfn.XLOOKUP($A145,Input_Raw!$A:$A,Input_Raw!$DG:$DG),"")</f>
        <v/>
      </c>
      <c r="O145" s="219" t="str">
        <f>IFERROR(1-(SUMIF(Plant_BD!$B:$B,$A145,Plant_BD!$AL:$AL)/($AA145+SUMIF(Plant_BD!$B:$B,$A145,Plant_BD!$AL:$AL))),"")</f>
        <v/>
      </c>
      <c r="P145" s="219"/>
      <c r="Q145" s="220" t="str">
        <f>IFERROR(1-(SUMIF(Grid_BD!$B:$B,$A145,Grid_BD!$V:$V)/($AA145+SUMIF(Grid_BD!$B:$B,$A145,Grid_BD!$V:$V))),"")</f>
        <v/>
      </c>
      <c r="R145" s="219" t="str">
        <f>IFERROR(1-(SUMIF(Grid_BD!$B:$B,$A145,Grid_BD!$V:$V)/($AA145+SUMIF(Grid_BD!$B:$B,$A145,Grid_BD!$V:$V))),"")</f>
        <v/>
      </c>
      <c r="S145" s="9"/>
      <c r="T145" s="220"/>
      <c r="U145" s="221" t="str">
        <f t="shared" si="11"/>
        <v/>
      </c>
      <c r="V145" s="221" t="str">
        <f>IFERROR(_xlfn.XLOOKUP($A145,Input_Raw!$A:$A,Input_Raw!$FG:$FG),"")</f>
        <v/>
      </c>
      <c r="W145" s="222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78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22">
        <f>IFERROR(_xlfn.XLOOKUP($D145,'Modelling New'!$D:$D,'Modelling New'!O:O),"")</f>
        <v>0.85441089246197577</v>
      </c>
      <c r="AF145" s="222">
        <f>IFERROR(_xlfn.XLOOKUP($D145,'Modelling New'!$D:$D,'Modelling New'!W:W),"")</f>
        <v>0.14182761454173928</v>
      </c>
      <c r="AG145" s="222">
        <f>IFERROR(_xlfn.XLOOKUP($D145,'Modelling New'!$D:$D,'Modelling New'!AE:AE),"")</f>
        <v>0.995</v>
      </c>
      <c r="AH145" s="222">
        <f>IFERROR(_xlfn.XLOOKUP($D145,'Modelling New'!$D:$D,'Modelling New'!AF:AF),"")</f>
        <v>0.995</v>
      </c>
      <c r="AI145" s="9"/>
      <c r="AJ145" s="9"/>
      <c r="AK145" s="245"/>
      <c r="AL145" s="245"/>
      <c r="AM145" s="245"/>
      <c r="AN145" s="219"/>
      <c r="AO145" s="222"/>
      <c r="AP145" s="222"/>
      <c r="AQ145" s="222"/>
      <c r="AR145" s="223">
        <f>_xlfn.XLOOKUP(D145,'Modelling New'!$D:$D,'Modelling New'!$N:$N)</f>
        <v>130</v>
      </c>
      <c r="AS145" s="223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18">
        <f>Table13[[#This Row],[Date]]-DAY(Table13[[#This Row],[Date]])+1</f>
        <v>45870</v>
      </c>
      <c r="E146" s="9">
        <f t="shared" si="10"/>
        <v>31</v>
      </c>
      <c r="F146" s="188" t="str">
        <f>IFERROR(_xlfn.XLOOKUP($A146,Input_Raw!$A:$A,Input_Raw!$FC:$FC),"")</f>
        <v/>
      </c>
      <c r="G146" s="189" t="str">
        <f>IFERROR(_xlfn.XLOOKUP($A146,Input_Raw!$A:$A,Input_Raw!$CY:$CY),"")</f>
        <v/>
      </c>
      <c r="H146" s="189" t="str">
        <f>IFERROR(_xlfn.XLOOKUP($A146,Input_Raw!$A:$A,Input_Raw!$DA:$DA),"")</f>
        <v/>
      </c>
      <c r="I146" s="189" t="str">
        <f>IFERROR(_xlfn.XLOOKUP($A146,Input_Raw!$A:$A,Input_Raw!$CX:$CX),"")</f>
        <v/>
      </c>
      <c r="J146" s="189" t="str">
        <f>IFERROR(_xlfn.XLOOKUP($A146,Input_Raw!$A:$A,Input_Raw!$CZ:$CZ),"")</f>
        <v/>
      </c>
      <c r="K146" s="190" t="str">
        <f>IFERROR(_xlfn.XLOOKUP($A146,Input_Raw!$A:$A,Input_Raw!$DB:$DB),"")</f>
        <v/>
      </c>
      <c r="L146" s="190" t="str">
        <f>IFERROR(_xlfn.XLOOKUP($A146,Input_Raw!$A:$A,Input_Raw!$DC:$DC),"")</f>
        <v/>
      </c>
      <c r="M146" s="189" t="str">
        <f>IFERROR(_xlfn.XLOOKUP($A146,Input_Raw!$A:$A,Input_Raw!$DF:$DF),"")</f>
        <v/>
      </c>
      <c r="N146" s="189" t="str">
        <f>IFERROR(_xlfn.XLOOKUP($A146,Input_Raw!$A:$A,Input_Raw!$DG:$DG),"")</f>
        <v/>
      </c>
      <c r="O146" s="219" t="str">
        <f>IFERROR(1-(SUMIF(Plant_BD!$B:$B,$A146,Plant_BD!$AL:$AL)/($AA146+SUMIF(Plant_BD!$B:$B,$A146,Plant_BD!$AL:$AL))),"")</f>
        <v/>
      </c>
      <c r="P146" s="219"/>
      <c r="Q146" s="220" t="str">
        <f>IFERROR(1-(SUMIF(Grid_BD!$B:$B,$A146,Grid_BD!$V:$V)/($AA146+SUMIF(Grid_BD!$B:$B,$A146,Grid_BD!$V:$V))),"")</f>
        <v/>
      </c>
      <c r="R146" s="219" t="str">
        <f>IFERROR(1-(SUMIF(Grid_BD!$B:$B,$A146,Grid_BD!$V:$V)/($AA146+SUMIF(Grid_BD!$B:$B,$A146,Grid_BD!$V:$V))),"")</f>
        <v/>
      </c>
      <c r="S146" s="9"/>
      <c r="T146" s="220"/>
      <c r="U146" s="221" t="str">
        <f t="shared" si="11"/>
        <v/>
      </c>
      <c r="V146" s="221" t="str">
        <f>IFERROR(_xlfn.XLOOKUP($A146,Input_Raw!$A:$A,Input_Raw!$FG:$FG),"")</f>
        <v/>
      </c>
      <c r="W146" s="222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78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22">
        <f>IFERROR(_xlfn.XLOOKUP($D146,'Modelling New'!$D:$D,'Modelling New'!O:O),"")</f>
        <v>0.85441089246197577</v>
      </c>
      <c r="AF146" s="222">
        <f>IFERROR(_xlfn.XLOOKUP($D146,'Modelling New'!$D:$D,'Modelling New'!W:W),"")</f>
        <v>0.14182761454173928</v>
      </c>
      <c r="AG146" s="222">
        <f>IFERROR(_xlfn.XLOOKUP($D146,'Modelling New'!$D:$D,'Modelling New'!AE:AE),"")</f>
        <v>0.995</v>
      </c>
      <c r="AH146" s="222">
        <f>IFERROR(_xlfn.XLOOKUP($D146,'Modelling New'!$D:$D,'Modelling New'!AF:AF),"")</f>
        <v>0.995</v>
      </c>
      <c r="AI146" s="9"/>
      <c r="AJ146" s="9"/>
      <c r="AK146" s="245"/>
      <c r="AL146" s="245"/>
      <c r="AM146" s="245"/>
      <c r="AN146" s="219"/>
      <c r="AO146" s="222"/>
      <c r="AP146" s="222"/>
      <c r="AQ146" s="222"/>
      <c r="AR146" s="223">
        <f>_xlfn.XLOOKUP(D146,'Modelling New'!$D:$D,'Modelling New'!$N:$N)</f>
        <v>130</v>
      </c>
      <c r="AS146" s="223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18">
        <f>Table13[[#This Row],[Date]]-DAY(Table13[[#This Row],[Date]])+1</f>
        <v>45870</v>
      </c>
      <c r="E147" s="9">
        <f t="shared" si="10"/>
        <v>31</v>
      </c>
      <c r="F147" s="188" t="str">
        <f>IFERROR(_xlfn.XLOOKUP($A147,Input_Raw!$A:$A,Input_Raw!$FC:$FC),"")</f>
        <v/>
      </c>
      <c r="G147" s="178" t="str">
        <f>IFERROR(_xlfn.XLOOKUP($A147,Input_Raw!$A:$A,Input_Raw!$CY:$CY),"")</f>
        <v/>
      </c>
      <c r="H147" s="178" t="str">
        <f>IFERROR(_xlfn.XLOOKUP($A147,Input_Raw!$A:$A,Input_Raw!$DA:$DA),"")</f>
        <v/>
      </c>
      <c r="I147" s="178" t="str">
        <f>IFERROR(_xlfn.XLOOKUP($A147,Input_Raw!$A:$A,Input_Raw!$CX:$CX),"")</f>
        <v/>
      </c>
      <c r="J147" s="178" t="str">
        <f>IFERROR(_xlfn.XLOOKUP($A147,Input_Raw!$A:$A,Input_Raw!$CZ:$CZ),"")</f>
        <v/>
      </c>
      <c r="K147" s="190" t="str">
        <f>IFERROR(_xlfn.XLOOKUP($A147,Input_Raw!$A:$A,Input_Raw!$DB:$DB),"")</f>
        <v/>
      </c>
      <c r="L147" s="190" t="str">
        <f>IFERROR(_xlfn.XLOOKUP($A147,Input_Raw!$A:$A,Input_Raw!$DC:$DC),"")</f>
        <v/>
      </c>
      <c r="M147" s="189" t="str">
        <f>IFERROR(_xlfn.XLOOKUP($A147,Input_Raw!$A:$A,Input_Raw!$DF:$DF),"")</f>
        <v/>
      </c>
      <c r="N147" s="189" t="str">
        <f>IFERROR(_xlfn.XLOOKUP($A147,Input_Raw!$A:$A,Input_Raw!$DG:$DG),"")</f>
        <v/>
      </c>
      <c r="O147" s="219" t="str">
        <f>IFERROR(1-(SUMIF(Plant_BD!$B:$B,$A147,Plant_BD!$AL:$AL)/($AA147+SUMIF(Plant_BD!$B:$B,$A147,Plant_BD!$AL:$AL))),"")</f>
        <v/>
      </c>
      <c r="P147" s="219"/>
      <c r="Q147" s="220" t="str">
        <f>IFERROR(1-(SUMIF(Grid_BD!$B:$B,$A147,Grid_BD!$V:$V)/($AA147+SUMIF(Grid_BD!$B:$B,$A147,Grid_BD!$V:$V))),"")</f>
        <v/>
      </c>
      <c r="R147" s="219" t="str">
        <f>IFERROR(1-(SUMIF(Grid_BD!$B:$B,$A147,Grid_BD!$V:$V)/($AA147+SUMIF(Grid_BD!$B:$B,$A147,Grid_BD!$V:$V))),"")</f>
        <v/>
      </c>
      <c r="S147" s="9"/>
      <c r="T147" s="220"/>
      <c r="U147" s="221" t="str">
        <f t="shared" si="11"/>
        <v/>
      </c>
      <c r="V147" s="221" t="str">
        <f>IFERROR(_xlfn.XLOOKUP($A147,Input_Raw!$A:$A,Input_Raw!$FG:$FG),"")</f>
        <v/>
      </c>
      <c r="W147" s="222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78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22">
        <f>IFERROR(_xlfn.XLOOKUP($D147,'Modelling New'!$D:$D,'Modelling New'!O:O),"")</f>
        <v>0.85441089246197577</v>
      </c>
      <c r="AF147" s="222">
        <f>IFERROR(_xlfn.XLOOKUP($D147,'Modelling New'!$D:$D,'Modelling New'!W:W),"")</f>
        <v>0.14182761454173928</v>
      </c>
      <c r="AG147" s="222">
        <f>IFERROR(_xlfn.XLOOKUP($D147,'Modelling New'!$D:$D,'Modelling New'!AE:AE),"")</f>
        <v>0.995</v>
      </c>
      <c r="AH147" s="222">
        <f>IFERROR(_xlfn.XLOOKUP($D147,'Modelling New'!$D:$D,'Modelling New'!AF:AF),"")</f>
        <v>0.995</v>
      </c>
      <c r="AI147" s="9"/>
      <c r="AJ147" s="9"/>
      <c r="AK147" s="245"/>
      <c r="AL147" s="245"/>
      <c r="AM147" s="245"/>
      <c r="AN147" s="219"/>
      <c r="AO147" s="222"/>
      <c r="AP147" s="222"/>
      <c r="AQ147" s="222"/>
      <c r="AR147" s="223">
        <f>_xlfn.XLOOKUP(D147,'Modelling New'!$D:$D,'Modelling New'!$N:$N)</f>
        <v>130</v>
      </c>
      <c r="AS147" s="223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18">
        <f>Table13[[#This Row],[Date]]-DAY(Table13[[#This Row],[Date]])+1</f>
        <v>45870</v>
      </c>
      <c r="E148" s="9">
        <f t="shared" si="10"/>
        <v>31</v>
      </c>
      <c r="F148" s="188" t="str">
        <f>IFERROR(_xlfn.XLOOKUP($A148,Input_Raw!$A:$A,Input_Raw!$FC:$FC),"")</f>
        <v/>
      </c>
      <c r="G148" s="189" t="str">
        <f>IFERROR(_xlfn.XLOOKUP($A148,Input_Raw!$A:$A,Input_Raw!$CY:$CY),"")</f>
        <v/>
      </c>
      <c r="H148" s="189" t="str">
        <f>IFERROR(_xlfn.XLOOKUP($A148,Input_Raw!$A:$A,Input_Raw!$DA:$DA),"")</f>
        <v/>
      </c>
      <c r="I148" s="189" t="str">
        <f>IFERROR(_xlfn.XLOOKUP($A148,Input_Raw!$A:$A,Input_Raw!$CX:$CX),"")</f>
        <v/>
      </c>
      <c r="J148" s="189" t="str">
        <f>IFERROR(_xlfn.XLOOKUP($A148,Input_Raw!$A:$A,Input_Raw!$CZ:$CZ),"")</f>
        <v/>
      </c>
      <c r="K148" s="190" t="str">
        <f>IFERROR(_xlfn.XLOOKUP($A148,Input_Raw!$A:$A,Input_Raw!$DB:$DB),"")</f>
        <v/>
      </c>
      <c r="L148" s="190" t="str">
        <f>IFERROR(_xlfn.XLOOKUP($A148,Input_Raw!$A:$A,Input_Raw!$DC:$DC),"")</f>
        <v/>
      </c>
      <c r="M148" s="189" t="str">
        <f>IFERROR(_xlfn.XLOOKUP($A148,Input_Raw!$A:$A,Input_Raw!$DF:$DF),"")</f>
        <v/>
      </c>
      <c r="N148" s="189" t="str">
        <f>IFERROR(_xlfn.XLOOKUP($A148,Input_Raw!$A:$A,Input_Raw!$DG:$DG),"")</f>
        <v/>
      </c>
      <c r="O148" s="219" t="str">
        <f>IFERROR(1-(SUMIF(Plant_BD!$B:$B,$A148,Plant_BD!$AL:$AL)/($AA148+SUMIF(Plant_BD!$B:$B,$A148,Plant_BD!$AL:$AL))),"")</f>
        <v/>
      </c>
      <c r="P148" s="219"/>
      <c r="Q148" s="220" t="str">
        <f>IFERROR(1-(SUMIF(Grid_BD!$B:$B,$A148,Grid_BD!$V:$V)/($AA148+SUMIF(Grid_BD!$B:$B,$A148,Grid_BD!$V:$V))),"")</f>
        <v/>
      </c>
      <c r="R148" s="219" t="str">
        <f>IFERROR(1-(SUMIF(Grid_BD!$B:$B,$A148,Grid_BD!$V:$V)/($AA148+SUMIF(Grid_BD!$B:$B,$A148,Grid_BD!$V:$V))),"")</f>
        <v/>
      </c>
      <c r="S148" s="9"/>
      <c r="T148" s="220"/>
      <c r="U148" s="221" t="str">
        <f t="shared" si="11"/>
        <v/>
      </c>
      <c r="V148" s="221" t="str">
        <f>IFERROR(_xlfn.XLOOKUP($A148,Input_Raw!$A:$A,Input_Raw!$FG:$FG),"")</f>
        <v/>
      </c>
      <c r="W148" s="222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78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22">
        <f>IFERROR(_xlfn.XLOOKUP($D148,'Modelling New'!$D:$D,'Modelling New'!O:O),"")</f>
        <v>0.85441089246197577</v>
      </c>
      <c r="AF148" s="222">
        <f>IFERROR(_xlfn.XLOOKUP($D148,'Modelling New'!$D:$D,'Modelling New'!W:W),"")</f>
        <v>0.14182761454173928</v>
      </c>
      <c r="AG148" s="222">
        <f>IFERROR(_xlfn.XLOOKUP($D148,'Modelling New'!$D:$D,'Modelling New'!AE:AE),"")</f>
        <v>0.995</v>
      </c>
      <c r="AH148" s="222">
        <f>IFERROR(_xlfn.XLOOKUP($D148,'Modelling New'!$D:$D,'Modelling New'!AF:AF),"")</f>
        <v>0.995</v>
      </c>
      <c r="AI148" s="9"/>
      <c r="AJ148" s="9"/>
      <c r="AK148" s="245"/>
      <c r="AL148" s="245"/>
      <c r="AM148" s="245"/>
      <c r="AN148" s="219"/>
      <c r="AO148" s="222"/>
      <c r="AP148" s="222"/>
      <c r="AQ148" s="222"/>
      <c r="AR148" s="223">
        <f>_xlfn.XLOOKUP(D148,'Modelling New'!$D:$D,'Modelling New'!$N:$N)</f>
        <v>130</v>
      </c>
      <c r="AS148" s="223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18">
        <f>Table13[[#This Row],[Date]]-DAY(Table13[[#This Row],[Date]])+1</f>
        <v>45870</v>
      </c>
      <c r="E149" s="9">
        <f t="shared" si="10"/>
        <v>31</v>
      </c>
      <c r="F149" s="188" t="str">
        <f>IFERROR(_xlfn.XLOOKUP($A149,Input_Raw!$A:$A,Input_Raw!$FC:$FC),"")</f>
        <v/>
      </c>
      <c r="G149" s="178" t="str">
        <f>IFERROR(_xlfn.XLOOKUP($A149,Input_Raw!$A:$A,Input_Raw!$CY:$CY),"")</f>
        <v/>
      </c>
      <c r="H149" s="178" t="str">
        <f>IFERROR(_xlfn.XLOOKUP($A149,Input_Raw!$A:$A,Input_Raw!$DA:$DA),"")</f>
        <v/>
      </c>
      <c r="I149" s="178" t="str">
        <f>IFERROR(_xlfn.XLOOKUP($A149,Input_Raw!$A:$A,Input_Raw!$CX:$CX),"")</f>
        <v/>
      </c>
      <c r="J149" s="178" t="str">
        <f>IFERROR(_xlfn.XLOOKUP($A149,Input_Raw!$A:$A,Input_Raw!$CZ:$CZ),"")</f>
        <v/>
      </c>
      <c r="K149" s="190" t="str">
        <f>IFERROR(_xlfn.XLOOKUP($A149,Input_Raw!$A:$A,Input_Raw!$DB:$DB),"")</f>
        <v/>
      </c>
      <c r="L149" s="190" t="str">
        <f>IFERROR(_xlfn.XLOOKUP($A149,Input_Raw!$A:$A,Input_Raw!$DC:$DC),"")</f>
        <v/>
      </c>
      <c r="M149" s="189" t="str">
        <f>IFERROR(_xlfn.XLOOKUP($A149,Input_Raw!$A:$A,Input_Raw!$DF:$DF),"")</f>
        <v/>
      </c>
      <c r="N149" s="189" t="str">
        <f>IFERROR(_xlfn.XLOOKUP($A149,Input_Raw!$A:$A,Input_Raw!$DG:$DG),"")</f>
        <v/>
      </c>
      <c r="O149" s="219" t="str">
        <f>IFERROR(1-(SUMIF(Plant_BD!$B:$B,$A149,Plant_BD!$AL:$AL)/($AA149+SUMIF(Plant_BD!$B:$B,$A149,Plant_BD!$AL:$AL))),"")</f>
        <v/>
      </c>
      <c r="P149" s="219"/>
      <c r="Q149" s="220" t="str">
        <f>IFERROR(1-(SUMIF(Grid_BD!$B:$B,$A149,Grid_BD!$V:$V)/($AA149+SUMIF(Grid_BD!$B:$B,$A149,Grid_BD!$V:$V))),"")</f>
        <v/>
      </c>
      <c r="R149" s="219" t="str">
        <f>IFERROR(1-(SUMIF(Grid_BD!$B:$B,$A149,Grid_BD!$V:$V)/($AA149+SUMIF(Grid_BD!$B:$B,$A149,Grid_BD!$V:$V))),"")</f>
        <v/>
      </c>
      <c r="S149" s="9"/>
      <c r="T149" s="220"/>
      <c r="U149" s="221" t="str">
        <f t="shared" si="11"/>
        <v/>
      </c>
      <c r="V149" s="221" t="str">
        <f>IFERROR(_xlfn.XLOOKUP($A149,Input_Raw!$A:$A,Input_Raw!$FG:$FG),"")</f>
        <v/>
      </c>
      <c r="W149" s="222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78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22">
        <f>IFERROR(_xlfn.XLOOKUP($D149,'Modelling New'!$D:$D,'Modelling New'!O:O),"")</f>
        <v>0.85441089246197577</v>
      </c>
      <c r="AF149" s="222">
        <f>IFERROR(_xlfn.XLOOKUP($D149,'Modelling New'!$D:$D,'Modelling New'!W:W),"")</f>
        <v>0.14182761454173928</v>
      </c>
      <c r="AG149" s="222">
        <f>IFERROR(_xlfn.XLOOKUP($D149,'Modelling New'!$D:$D,'Modelling New'!AE:AE),"")</f>
        <v>0.995</v>
      </c>
      <c r="AH149" s="222">
        <f>IFERROR(_xlfn.XLOOKUP($D149,'Modelling New'!$D:$D,'Modelling New'!AF:AF),"")</f>
        <v>0.995</v>
      </c>
      <c r="AI149" s="9"/>
      <c r="AJ149" s="9"/>
      <c r="AK149" s="245"/>
      <c r="AL149" s="245"/>
      <c r="AM149" s="245"/>
      <c r="AN149" s="219"/>
      <c r="AO149" s="222"/>
      <c r="AP149" s="222"/>
      <c r="AQ149" s="222"/>
      <c r="AR149" s="223">
        <f>_xlfn.XLOOKUP(D149,'Modelling New'!$D:$D,'Modelling New'!$N:$N)</f>
        <v>130</v>
      </c>
      <c r="AS149" s="223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18">
        <f>Table13[[#This Row],[Date]]-DAY(Table13[[#This Row],[Date]])+1</f>
        <v>45870</v>
      </c>
      <c r="E150" s="9">
        <f t="shared" si="10"/>
        <v>31</v>
      </c>
      <c r="F150" s="188" t="str">
        <f>IFERROR(_xlfn.XLOOKUP($A150,Input_Raw!$A:$A,Input_Raw!$FC:$FC),"")</f>
        <v/>
      </c>
      <c r="G150" s="189" t="str">
        <f>IFERROR(_xlfn.XLOOKUP($A150,Input_Raw!$A:$A,Input_Raw!$CY:$CY),"")</f>
        <v/>
      </c>
      <c r="H150" s="189" t="str">
        <f>IFERROR(_xlfn.XLOOKUP($A150,Input_Raw!$A:$A,Input_Raw!$DA:$DA),"")</f>
        <v/>
      </c>
      <c r="I150" s="189" t="str">
        <f>IFERROR(_xlfn.XLOOKUP($A150,Input_Raw!$A:$A,Input_Raw!$CX:$CX),"")</f>
        <v/>
      </c>
      <c r="J150" s="189" t="str">
        <f>IFERROR(_xlfn.XLOOKUP($A150,Input_Raw!$A:$A,Input_Raw!$CZ:$CZ),"")</f>
        <v/>
      </c>
      <c r="K150" s="190" t="str">
        <f>IFERROR(_xlfn.XLOOKUP($A150,Input_Raw!$A:$A,Input_Raw!$DB:$DB),"")</f>
        <v/>
      </c>
      <c r="L150" s="190" t="str">
        <f>IFERROR(_xlfn.XLOOKUP($A150,Input_Raw!$A:$A,Input_Raw!$DC:$DC),"")</f>
        <v/>
      </c>
      <c r="M150" s="189" t="str">
        <f>IFERROR(_xlfn.XLOOKUP($A150,Input_Raw!$A:$A,Input_Raw!$DF:$DF),"")</f>
        <v/>
      </c>
      <c r="N150" s="189" t="str">
        <f>IFERROR(_xlfn.XLOOKUP($A150,Input_Raw!$A:$A,Input_Raw!$DG:$DG),"")</f>
        <v/>
      </c>
      <c r="O150" s="219" t="str">
        <f>IFERROR(1-(SUMIF(Plant_BD!$B:$B,$A150,Plant_BD!$AL:$AL)/($AA150+SUMIF(Plant_BD!$B:$B,$A150,Plant_BD!$AL:$AL))),"")</f>
        <v/>
      </c>
      <c r="P150" s="219"/>
      <c r="Q150" s="220" t="str">
        <f>IFERROR(1-(SUMIF(Grid_BD!$B:$B,$A150,Grid_BD!$V:$V)/($AA150+SUMIF(Grid_BD!$B:$B,$A150,Grid_BD!$V:$V))),"")</f>
        <v/>
      </c>
      <c r="R150" s="219" t="str">
        <f>IFERROR(1-(SUMIF(Grid_BD!$B:$B,$A150,Grid_BD!$V:$V)/($AA150+SUMIF(Grid_BD!$B:$B,$A150,Grid_BD!$V:$V))),"")</f>
        <v/>
      </c>
      <c r="S150" s="9"/>
      <c r="T150" s="220"/>
      <c r="U150" s="221" t="str">
        <f t="shared" si="11"/>
        <v/>
      </c>
      <c r="V150" s="221" t="str">
        <f>IFERROR(_xlfn.XLOOKUP($A150,Input_Raw!$A:$A,Input_Raw!$FG:$FG),"")</f>
        <v/>
      </c>
      <c r="W150" s="222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78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22">
        <f>IFERROR(_xlfn.XLOOKUP($D150,'Modelling New'!$D:$D,'Modelling New'!O:O),"")</f>
        <v>0.85441089246197577</v>
      </c>
      <c r="AF150" s="222">
        <f>IFERROR(_xlfn.XLOOKUP($D150,'Modelling New'!$D:$D,'Modelling New'!W:W),"")</f>
        <v>0.14182761454173928</v>
      </c>
      <c r="AG150" s="222">
        <f>IFERROR(_xlfn.XLOOKUP($D150,'Modelling New'!$D:$D,'Modelling New'!AE:AE),"")</f>
        <v>0.995</v>
      </c>
      <c r="AH150" s="222">
        <f>IFERROR(_xlfn.XLOOKUP($D150,'Modelling New'!$D:$D,'Modelling New'!AF:AF),"")</f>
        <v>0.995</v>
      </c>
      <c r="AI150" s="9"/>
      <c r="AJ150" s="9"/>
      <c r="AK150" s="245"/>
      <c r="AL150" s="245"/>
      <c r="AM150" s="245"/>
      <c r="AN150" s="219"/>
      <c r="AO150" s="222"/>
      <c r="AP150" s="222"/>
      <c r="AQ150" s="222"/>
      <c r="AR150" s="223">
        <f>_xlfn.XLOOKUP(D150,'Modelling New'!$D:$D,'Modelling New'!$N:$N)</f>
        <v>130</v>
      </c>
      <c r="AS150" s="223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18">
        <f>Table13[[#This Row],[Date]]-DAY(Table13[[#This Row],[Date]])+1</f>
        <v>45870</v>
      </c>
      <c r="E151" s="9">
        <f t="shared" si="10"/>
        <v>31</v>
      </c>
      <c r="F151" s="188" t="str">
        <f>IFERROR(_xlfn.XLOOKUP($A151,Input_Raw!$A:$A,Input_Raw!$FC:$FC),"")</f>
        <v/>
      </c>
      <c r="G151" s="178" t="str">
        <f>IFERROR(_xlfn.XLOOKUP($A151,Input_Raw!$A:$A,Input_Raw!$CY:$CY),"")</f>
        <v/>
      </c>
      <c r="H151" s="178" t="str">
        <f>IFERROR(_xlfn.XLOOKUP($A151,Input_Raw!$A:$A,Input_Raw!$DA:$DA),"")</f>
        <v/>
      </c>
      <c r="I151" s="178" t="str">
        <f>IFERROR(_xlfn.XLOOKUP($A151,Input_Raw!$A:$A,Input_Raw!$CX:$CX),"")</f>
        <v/>
      </c>
      <c r="J151" s="178" t="str">
        <f>IFERROR(_xlfn.XLOOKUP($A151,Input_Raw!$A:$A,Input_Raw!$CZ:$CZ),"")</f>
        <v/>
      </c>
      <c r="K151" s="190" t="str">
        <f>IFERROR(_xlfn.XLOOKUP($A151,Input_Raw!$A:$A,Input_Raw!$DB:$DB),"")</f>
        <v/>
      </c>
      <c r="L151" s="190" t="str">
        <f>IFERROR(_xlfn.XLOOKUP($A151,Input_Raw!$A:$A,Input_Raw!$DC:$DC),"")</f>
        <v/>
      </c>
      <c r="M151" s="189" t="str">
        <f>IFERROR(_xlfn.XLOOKUP($A151,Input_Raw!$A:$A,Input_Raw!$DF:$DF),"")</f>
        <v/>
      </c>
      <c r="N151" s="189" t="str">
        <f>IFERROR(_xlfn.XLOOKUP($A151,Input_Raw!$A:$A,Input_Raw!$DG:$DG),"")</f>
        <v/>
      </c>
      <c r="O151" s="219" t="str">
        <f>IFERROR(1-(SUMIF(Plant_BD!$B:$B,$A151,Plant_BD!$AL:$AL)/($AA151+SUMIF(Plant_BD!$B:$B,$A151,Plant_BD!$AL:$AL))),"")</f>
        <v/>
      </c>
      <c r="P151" s="219"/>
      <c r="Q151" s="220" t="str">
        <f>IFERROR(1-(SUMIF(Grid_BD!$B:$B,$A151,Grid_BD!$V:$V)/($AA151+SUMIF(Grid_BD!$B:$B,$A151,Grid_BD!$V:$V))),"")</f>
        <v/>
      </c>
      <c r="R151" s="219" t="str">
        <f>IFERROR(1-(SUMIF(Grid_BD!$B:$B,$A151,Grid_BD!$V:$V)/($AA151+SUMIF(Grid_BD!$B:$B,$A151,Grid_BD!$V:$V))),"")</f>
        <v/>
      </c>
      <c r="S151" s="9"/>
      <c r="T151" s="220"/>
      <c r="U151" s="221" t="str">
        <f t="shared" si="11"/>
        <v/>
      </c>
      <c r="V151" s="221" t="str">
        <f>IFERROR(_xlfn.XLOOKUP($A151,Input_Raw!$A:$A,Input_Raw!$FG:$FG),"")</f>
        <v/>
      </c>
      <c r="W151" s="222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78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22">
        <f>IFERROR(_xlfn.XLOOKUP($D151,'Modelling New'!$D:$D,'Modelling New'!O:O),"")</f>
        <v>0.85441089246197577</v>
      </c>
      <c r="AF151" s="222">
        <f>IFERROR(_xlfn.XLOOKUP($D151,'Modelling New'!$D:$D,'Modelling New'!W:W),"")</f>
        <v>0.14182761454173928</v>
      </c>
      <c r="AG151" s="222">
        <f>IFERROR(_xlfn.XLOOKUP($D151,'Modelling New'!$D:$D,'Modelling New'!AE:AE),"")</f>
        <v>0.995</v>
      </c>
      <c r="AH151" s="222">
        <f>IFERROR(_xlfn.XLOOKUP($D151,'Modelling New'!$D:$D,'Modelling New'!AF:AF),"")</f>
        <v>0.995</v>
      </c>
      <c r="AI151" s="9"/>
      <c r="AJ151" s="9"/>
      <c r="AK151" s="245"/>
      <c r="AL151" s="245"/>
      <c r="AM151" s="245"/>
      <c r="AN151" s="219"/>
      <c r="AO151" s="222"/>
      <c r="AP151" s="222"/>
      <c r="AQ151" s="222"/>
      <c r="AR151" s="223">
        <f>_xlfn.XLOOKUP(D151,'Modelling New'!$D:$D,'Modelling New'!$N:$N)</f>
        <v>130</v>
      </c>
      <c r="AS151" s="223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18">
        <f>Table13[[#This Row],[Date]]-DAY(Table13[[#This Row],[Date]])+1</f>
        <v>45870</v>
      </c>
      <c r="E152" s="9">
        <f t="shared" si="10"/>
        <v>31</v>
      </c>
      <c r="F152" s="188" t="str">
        <f>IFERROR(_xlfn.XLOOKUP($A152,Input_Raw!$A:$A,Input_Raw!$FC:$FC),"")</f>
        <v/>
      </c>
      <c r="G152" s="189" t="str">
        <f>IFERROR(_xlfn.XLOOKUP($A152,Input_Raw!$A:$A,Input_Raw!$CY:$CY),"")</f>
        <v/>
      </c>
      <c r="H152" s="189" t="str">
        <f>IFERROR(_xlfn.XLOOKUP($A152,Input_Raw!$A:$A,Input_Raw!$DA:$DA),"")</f>
        <v/>
      </c>
      <c r="I152" s="189" t="str">
        <f>IFERROR(_xlfn.XLOOKUP($A152,Input_Raw!$A:$A,Input_Raw!$CX:$CX),"")</f>
        <v/>
      </c>
      <c r="J152" s="189" t="str">
        <f>IFERROR(_xlfn.XLOOKUP($A152,Input_Raw!$A:$A,Input_Raw!$CZ:$CZ),"")</f>
        <v/>
      </c>
      <c r="K152" s="190" t="str">
        <f>IFERROR(_xlfn.XLOOKUP($A152,Input_Raw!$A:$A,Input_Raw!$DB:$DB),"")</f>
        <v/>
      </c>
      <c r="L152" s="190" t="str">
        <f>IFERROR(_xlfn.XLOOKUP($A152,Input_Raw!$A:$A,Input_Raw!$DC:$DC),"")</f>
        <v/>
      </c>
      <c r="M152" s="189" t="str">
        <f>IFERROR(_xlfn.XLOOKUP($A152,Input_Raw!$A:$A,Input_Raw!$DF:$DF),"")</f>
        <v/>
      </c>
      <c r="N152" s="189" t="str">
        <f>IFERROR(_xlfn.XLOOKUP($A152,Input_Raw!$A:$A,Input_Raw!$DG:$DG),"")</f>
        <v/>
      </c>
      <c r="O152" s="219" t="str">
        <f>IFERROR(1-(SUMIF(Plant_BD!$B:$B,$A152,Plant_BD!$AL:$AL)/($AA152+SUMIF(Plant_BD!$B:$B,$A152,Plant_BD!$AL:$AL))),"")</f>
        <v/>
      </c>
      <c r="P152" s="219"/>
      <c r="Q152" s="220" t="str">
        <f>IFERROR(1-(SUMIF(Grid_BD!$B:$B,$A152,Grid_BD!$V:$V)/($AA152+SUMIF(Grid_BD!$B:$B,$A152,Grid_BD!$V:$V))),"")</f>
        <v/>
      </c>
      <c r="R152" s="219" t="str">
        <f>IFERROR(1-(SUMIF(Grid_BD!$B:$B,$A152,Grid_BD!$V:$V)/($AA152+SUMIF(Grid_BD!$B:$B,$A152,Grid_BD!$V:$V))),"")</f>
        <v/>
      </c>
      <c r="S152" s="9"/>
      <c r="T152" s="220"/>
      <c r="U152" s="221" t="str">
        <f t="shared" si="11"/>
        <v/>
      </c>
      <c r="V152" s="221" t="str">
        <f>IFERROR(_xlfn.XLOOKUP($A152,Input_Raw!$A:$A,Input_Raw!$FG:$FG),"")</f>
        <v/>
      </c>
      <c r="W152" s="222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78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22">
        <f>IFERROR(_xlfn.XLOOKUP($D152,'Modelling New'!$D:$D,'Modelling New'!O:O),"")</f>
        <v>0.85441089246197577</v>
      </c>
      <c r="AF152" s="222">
        <f>IFERROR(_xlfn.XLOOKUP($D152,'Modelling New'!$D:$D,'Modelling New'!W:W),"")</f>
        <v>0.14182761454173928</v>
      </c>
      <c r="AG152" s="222">
        <f>IFERROR(_xlfn.XLOOKUP($D152,'Modelling New'!$D:$D,'Modelling New'!AE:AE),"")</f>
        <v>0.995</v>
      </c>
      <c r="AH152" s="222">
        <f>IFERROR(_xlfn.XLOOKUP($D152,'Modelling New'!$D:$D,'Modelling New'!AF:AF),"")</f>
        <v>0.995</v>
      </c>
      <c r="AI152" s="9"/>
      <c r="AJ152" s="9"/>
      <c r="AK152" s="245"/>
      <c r="AL152" s="245"/>
      <c r="AM152" s="245"/>
      <c r="AN152" s="219"/>
      <c r="AO152" s="222"/>
      <c r="AP152" s="222"/>
      <c r="AQ152" s="222"/>
      <c r="AR152" s="223">
        <f>_xlfn.XLOOKUP(D152,'Modelling New'!$D:$D,'Modelling New'!$N:$N)</f>
        <v>130</v>
      </c>
      <c r="AS152" s="223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18">
        <f>Table13[[#This Row],[Date]]-DAY(Table13[[#This Row],[Date]])+1</f>
        <v>45870</v>
      </c>
      <c r="E153" s="9">
        <f t="shared" si="10"/>
        <v>31</v>
      </c>
      <c r="F153" s="188" t="str">
        <f>IFERROR(_xlfn.XLOOKUP($A153,Input_Raw!$A:$A,Input_Raw!$FC:$FC),"")</f>
        <v/>
      </c>
      <c r="G153" s="178" t="str">
        <f>IFERROR(_xlfn.XLOOKUP($A153,Input_Raw!$A:$A,Input_Raw!$CY:$CY),"")</f>
        <v/>
      </c>
      <c r="H153" s="178" t="str">
        <f>IFERROR(_xlfn.XLOOKUP($A153,Input_Raw!$A:$A,Input_Raw!$DA:$DA),"")</f>
        <v/>
      </c>
      <c r="I153" s="178" t="str">
        <f>IFERROR(_xlfn.XLOOKUP($A153,Input_Raw!$A:$A,Input_Raw!$CX:$CX),"")</f>
        <v/>
      </c>
      <c r="J153" s="178" t="str">
        <f>IFERROR(_xlfn.XLOOKUP($A153,Input_Raw!$A:$A,Input_Raw!$CZ:$CZ),"")</f>
        <v/>
      </c>
      <c r="K153" s="190" t="str">
        <f>IFERROR(_xlfn.XLOOKUP($A153,Input_Raw!$A:$A,Input_Raw!$DB:$DB),"")</f>
        <v/>
      </c>
      <c r="L153" s="190" t="str">
        <f>IFERROR(_xlfn.XLOOKUP($A153,Input_Raw!$A:$A,Input_Raw!$DC:$DC),"")</f>
        <v/>
      </c>
      <c r="M153" s="189" t="str">
        <f>IFERROR(_xlfn.XLOOKUP($A153,Input_Raw!$A:$A,Input_Raw!$DF:$DF),"")</f>
        <v/>
      </c>
      <c r="N153" s="189" t="str">
        <f>IFERROR(_xlfn.XLOOKUP($A153,Input_Raw!$A:$A,Input_Raw!$DG:$DG),"")</f>
        <v/>
      </c>
      <c r="O153" s="219" t="str">
        <f>IFERROR(1-(SUMIF(Plant_BD!$B:$B,$A153,Plant_BD!$AL:$AL)/($AA153+SUMIF(Plant_BD!$B:$B,$A153,Plant_BD!$AL:$AL))),"")</f>
        <v/>
      </c>
      <c r="P153" s="219"/>
      <c r="Q153" s="220" t="str">
        <f>IFERROR(1-(SUMIF(Grid_BD!$B:$B,$A153,Grid_BD!$V:$V)/($AA153+SUMIF(Grid_BD!$B:$B,$A153,Grid_BD!$V:$V))),"")</f>
        <v/>
      </c>
      <c r="R153" s="219" t="str">
        <f>IFERROR(1-(SUMIF(Grid_BD!$B:$B,$A153,Grid_BD!$V:$V)/($AA153+SUMIF(Grid_BD!$B:$B,$A153,Grid_BD!$V:$V))),"")</f>
        <v/>
      </c>
      <c r="S153" s="9"/>
      <c r="T153" s="220"/>
      <c r="U153" s="221" t="str">
        <f t="shared" si="11"/>
        <v/>
      </c>
      <c r="V153" s="221" t="str">
        <f>IFERROR(_xlfn.XLOOKUP($A153,Input_Raw!$A:$A,Input_Raw!$FG:$FG),"")</f>
        <v/>
      </c>
      <c r="W153" s="222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78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22">
        <f>IFERROR(_xlfn.XLOOKUP($D153,'Modelling New'!$D:$D,'Modelling New'!O:O),"")</f>
        <v>0.85441089246197577</v>
      </c>
      <c r="AF153" s="222">
        <f>IFERROR(_xlfn.XLOOKUP($D153,'Modelling New'!$D:$D,'Modelling New'!W:W),"")</f>
        <v>0.14182761454173928</v>
      </c>
      <c r="AG153" s="222">
        <f>IFERROR(_xlfn.XLOOKUP($D153,'Modelling New'!$D:$D,'Modelling New'!AE:AE),"")</f>
        <v>0.995</v>
      </c>
      <c r="AH153" s="222">
        <f>IFERROR(_xlfn.XLOOKUP($D153,'Modelling New'!$D:$D,'Modelling New'!AF:AF),"")</f>
        <v>0.995</v>
      </c>
      <c r="AI153" s="9"/>
      <c r="AJ153" s="9"/>
      <c r="AK153" s="245"/>
      <c r="AL153" s="245"/>
      <c r="AM153" s="245"/>
      <c r="AN153" s="219"/>
      <c r="AO153" s="222"/>
      <c r="AP153" s="222"/>
      <c r="AQ153" s="222"/>
      <c r="AR153" s="223">
        <f>_xlfn.XLOOKUP(D153,'Modelling New'!$D:$D,'Modelling New'!$N:$N)</f>
        <v>130</v>
      </c>
      <c r="AS153" s="223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18">
        <f>Table13[[#This Row],[Date]]-DAY(Table13[[#This Row],[Date]])+1</f>
        <v>45870</v>
      </c>
      <c r="E154" s="9">
        <f t="shared" si="10"/>
        <v>31</v>
      </c>
      <c r="F154" s="188" t="str">
        <f>IFERROR(_xlfn.XLOOKUP($A154,Input_Raw!$A:$A,Input_Raw!$FC:$FC),"")</f>
        <v/>
      </c>
      <c r="G154" s="189" t="str">
        <f>IFERROR(_xlfn.XLOOKUP($A154,Input_Raw!$A:$A,Input_Raw!$CY:$CY),"")</f>
        <v/>
      </c>
      <c r="H154" s="189" t="str">
        <f>IFERROR(_xlfn.XLOOKUP($A154,Input_Raw!$A:$A,Input_Raw!$DA:$DA),"")</f>
        <v/>
      </c>
      <c r="I154" s="189" t="str">
        <f>IFERROR(_xlfn.XLOOKUP($A154,Input_Raw!$A:$A,Input_Raw!$CX:$CX),"")</f>
        <v/>
      </c>
      <c r="J154" s="189" t="str">
        <f>IFERROR(_xlfn.XLOOKUP($A154,Input_Raw!$A:$A,Input_Raw!$CZ:$CZ),"")</f>
        <v/>
      </c>
      <c r="K154" s="190" t="str">
        <f>IFERROR(_xlfn.XLOOKUP($A154,Input_Raw!$A:$A,Input_Raw!$DB:$DB),"")</f>
        <v/>
      </c>
      <c r="L154" s="190" t="str">
        <f>IFERROR(_xlfn.XLOOKUP($A154,Input_Raw!$A:$A,Input_Raw!$DC:$DC),"")</f>
        <v/>
      </c>
      <c r="M154" s="189" t="str">
        <f>IFERROR(_xlfn.XLOOKUP($A154,Input_Raw!$A:$A,Input_Raw!$DF:$DF),"")</f>
        <v/>
      </c>
      <c r="N154" s="189" t="str">
        <f>IFERROR(_xlfn.XLOOKUP($A154,Input_Raw!$A:$A,Input_Raw!$DG:$DG),"")</f>
        <v/>
      </c>
      <c r="O154" s="219" t="str">
        <f>IFERROR(1-(SUMIF(Plant_BD!$B:$B,$A154,Plant_BD!$AL:$AL)/($AA154+SUMIF(Plant_BD!$B:$B,$A154,Plant_BD!$AL:$AL))),"")</f>
        <v/>
      </c>
      <c r="P154" s="219"/>
      <c r="Q154" s="220" t="str">
        <f>IFERROR(1-(SUMIF(Grid_BD!$B:$B,$A154,Grid_BD!$V:$V)/($AA154+SUMIF(Grid_BD!$B:$B,$A154,Grid_BD!$V:$V))),"")</f>
        <v/>
      </c>
      <c r="R154" s="219" t="str">
        <f>IFERROR(1-(SUMIF(Grid_BD!$B:$B,$A154,Grid_BD!$V:$V)/($AA154+SUMIF(Grid_BD!$B:$B,$A154,Grid_BD!$V:$V))),"")</f>
        <v/>
      </c>
      <c r="S154" s="9"/>
      <c r="T154" s="220"/>
      <c r="U154" s="221" t="str">
        <f t="shared" si="11"/>
        <v/>
      </c>
      <c r="V154" s="221" t="str">
        <f>IFERROR(_xlfn.XLOOKUP($A154,Input_Raw!$A:$A,Input_Raw!$FG:$FG),"")</f>
        <v/>
      </c>
      <c r="W154" s="222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78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22">
        <f>IFERROR(_xlfn.XLOOKUP($D154,'Modelling New'!$D:$D,'Modelling New'!O:O),"")</f>
        <v>0.85441089246197577</v>
      </c>
      <c r="AF154" s="222">
        <f>IFERROR(_xlfn.XLOOKUP($D154,'Modelling New'!$D:$D,'Modelling New'!W:W),"")</f>
        <v>0.14182761454173928</v>
      </c>
      <c r="AG154" s="222">
        <f>IFERROR(_xlfn.XLOOKUP($D154,'Modelling New'!$D:$D,'Modelling New'!AE:AE),"")</f>
        <v>0.995</v>
      </c>
      <c r="AH154" s="222">
        <f>IFERROR(_xlfn.XLOOKUP($D154,'Modelling New'!$D:$D,'Modelling New'!AF:AF),"")</f>
        <v>0.995</v>
      </c>
      <c r="AI154" s="9"/>
      <c r="AJ154" s="9"/>
      <c r="AK154" s="245"/>
      <c r="AL154" s="245"/>
      <c r="AM154" s="245"/>
      <c r="AN154" s="219"/>
      <c r="AO154" s="222"/>
      <c r="AP154" s="222"/>
      <c r="AQ154" s="222"/>
      <c r="AR154" s="223">
        <f>_xlfn.XLOOKUP(D154,'Modelling New'!$D:$D,'Modelling New'!$N:$N)</f>
        <v>130</v>
      </c>
      <c r="AS154" s="223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18">
        <f>Table13[[#This Row],[Date]]-DAY(Table13[[#This Row],[Date]])+1</f>
        <v>45870</v>
      </c>
      <c r="E155" s="9">
        <f t="shared" si="10"/>
        <v>31</v>
      </c>
      <c r="F155" s="188" t="str">
        <f>IFERROR(_xlfn.XLOOKUP($A155,Input_Raw!$A:$A,Input_Raw!$FC:$FC),"")</f>
        <v/>
      </c>
      <c r="G155" s="178" t="str">
        <f>IFERROR(_xlfn.XLOOKUP($A155,Input_Raw!$A:$A,Input_Raw!$CY:$CY),"")</f>
        <v/>
      </c>
      <c r="H155" s="178" t="str">
        <f>IFERROR(_xlfn.XLOOKUP($A155,Input_Raw!$A:$A,Input_Raw!$DA:$DA),"")</f>
        <v/>
      </c>
      <c r="I155" s="178" t="str">
        <f>IFERROR(_xlfn.XLOOKUP($A155,Input_Raw!$A:$A,Input_Raw!$CX:$CX),"")</f>
        <v/>
      </c>
      <c r="J155" s="178" t="str">
        <f>IFERROR(_xlfn.XLOOKUP($A155,Input_Raw!$A:$A,Input_Raw!$CZ:$CZ),"")</f>
        <v/>
      </c>
      <c r="K155" s="190" t="str">
        <f>IFERROR(_xlfn.XLOOKUP($A155,Input_Raw!$A:$A,Input_Raw!$DB:$DB),"")</f>
        <v/>
      </c>
      <c r="L155" s="190" t="str">
        <f>IFERROR(_xlfn.XLOOKUP($A155,Input_Raw!$A:$A,Input_Raw!$DC:$DC),"")</f>
        <v/>
      </c>
      <c r="M155" s="189" t="str">
        <f>IFERROR(_xlfn.XLOOKUP($A155,Input_Raw!$A:$A,Input_Raw!$DF:$DF),"")</f>
        <v/>
      </c>
      <c r="N155" s="189" t="str">
        <f>IFERROR(_xlfn.XLOOKUP($A155,Input_Raw!$A:$A,Input_Raw!$DG:$DG),"")</f>
        <v/>
      </c>
      <c r="O155" s="219" t="str">
        <f>IFERROR(1-(SUMIF(Plant_BD!$B:$B,$A155,Plant_BD!$AL:$AL)/($AA155+SUMIF(Plant_BD!$B:$B,$A155,Plant_BD!$AL:$AL))),"")</f>
        <v/>
      </c>
      <c r="P155" s="219"/>
      <c r="Q155" s="220" t="str">
        <f>IFERROR(1-(SUMIF(Grid_BD!$B:$B,$A155,Grid_BD!$V:$V)/($AA155+SUMIF(Grid_BD!$B:$B,$A155,Grid_BD!$V:$V))),"")</f>
        <v/>
      </c>
      <c r="R155" s="219" t="str">
        <f>IFERROR(1-(SUMIF(Grid_BD!$B:$B,$A155,Grid_BD!$V:$V)/($AA155+SUMIF(Grid_BD!$B:$B,$A155,Grid_BD!$V:$V))),"")</f>
        <v/>
      </c>
      <c r="S155" s="9"/>
      <c r="T155" s="220"/>
      <c r="U155" s="221" t="str">
        <f t="shared" si="11"/>
        <v/>
      </c>
      <c r="V155" s="221" t="str">
        <f>IFERROR(_xlfn.XLOOKUP($A155,Input_Raw!$A:$A,Input_Raw!$FG:$FG),"")</f>
        <v/>
      </c>
      <c r="W155" s="222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78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22">
        <f>IFERROR(_xlfn.XLOOKUP($D155,'Modelling New'!$D:$D,'Modelling New'!O:O),"")</f>
        <v>0.85441089246197577</v>
      </c>
      <c r="AF155" s="222">
        <f>IFERROR(_xlfn.XLOOKUP($D155,'Modelling New'!$D:$D,'Modelling New'!W:W),"")</f>
        <v>0.14182761454173928</v>
      </c>
      <c r="AG155" s="222">
        <f>IFERROR(_xlfn.XLOOKUP($D155,'Modelling New'!$D:$D,'Modelling New'!AE:AE),"")</f>
        <v>0.995</v>
      </c>
      <c r="AH155" s="222">
        <f>IFERROR(_xlfn.XLOOKUP($D155,'Modelling New'!$D:$D,'Modelling New'!AF:AF),"")</f>
        <v>0.995</v>
      </c>
      <c r="AI155" s="9"/>
      <c r="AJ155" s="9"/>
      <c r="AK155" s="245"/>
      <c r="AL155" s="245"/>
      <c r="AM155" s="245"/>
      <c r="AN155" s="219"/>
      <c r="AO155" s="222"/>
      <c r="AP155" s="222"/>
      <c r="AQ155" s="222"/>
      <c r="AR155" s="223">
        <f>_xlfn.XLOOKUP(D155,'Modelling New'!$D:$D,'Modelling New'!$N:$N)</f>
        <v>130</v>
      </c>
      <c r="AS155" s="223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18">
        <f>Table13[[#This Row],[Date]]-DAY(Table13[[#This Row],[Date]])+1</f>
        <v>45870</v>
      </c>
      <c r="E156" s="9">
        <f t="shared" si="10"/>
        <v>31</v>
      </c>
      <c r="F156" s="188" t="str">
        <f>IFERROR(_xlfn.XLOOKUP($A156,Input_Raw!$A:$A,Input_Raw!$FC:$FC),"")</f>
        <v/>
      </c>
      <c r="G156" s="189" t="str">
        <f>IFERROR(_xlfn.XLOOKUP($A156,Input_Raw!$A:$A,Input_Raw!$CY:$CY),"")</f>
        <v/>
      </c>
      <c r="H156" s="189" t="str">
        <f>IFERROR(_xlfn.XLOOKUP($A156,Input_Raw!$A:$A,Input_Raw!$DA:$DA),"")</f>
        <v/>
      </c>
      <c r="I156" s="189" t="str">
        <f>IFERROR(_xlfn.XLOOKUP($A156,Input_Raw!$A:$A,Input_Raw!$CX:$CX),"")</f>
        <v/>
      </c>
      <c r="J156" s="189" t="str">
        <f>IFERROR(_xlfn.XLOOKUP($A156,Input_Raw!$A:$A,Input_Raw!$CZ:$CZ),"")</f>
        <v/>
      </c>
      <c r="K156" s="190" t="str">
        <f>IFERROR(_xlfn.XLOOKUP($A156,Input_Raw!$A:$A,Input_Raw!$DB:$DB),"")</f>
        <v/>
      </c>
      <c r="L156" s="190" t="str">
        <f>IFERROR(_xlfn.XLOOKUP($A156,Input_Raw!$A:$A,Input_Raw!$DC:$DC),"")</f>
        <v/>
      </c>
      <c r="M156" s="189" t="str">
        <f>IFERROR(_xlfn.XLOOKUP($A156,Input_Raw!$A:$A,Input_Raw!$DF:$DF),"")</f>
        <v/>
      </c>
      <c r="N156" s="189" t="str">
        <f>IFERROR(_xlfn.XLOOKUP($A156,Input_Raw!$A:$A,Input_Raw!$DG:$DG),"")</f>
        <v/>
      </c>
      <c r="O156" s="219" t="str">
        <f>IFERROR(1-(SUMIF(Plant_BD!$B:$B,$A156,Plant_BD!$AL:$AL)/($AA156+SUMIF(Plant_BD!$B:$B,$A156,Plant_BD!$AL:$AL))),"")</f>
        <v/>
      </c>
      <c r="P156" s="219"/>
      <c r="Q156" s="220" t="str">
        <f>IFERROR(1-(SUMIF(Grid_BD!$B:$B,$A156,Grid_BD!$V:$V)/($AA156+SUMIF(Grid_BD!$B:$B,$A156,Grid_BD!$V:$V))),"")</f>
        <v/>
      </c>
      <c r="R156" s="219" t="str">
        <f>IFERROR(1-(SUMIF(Grid_BD!$B:$B,$A156,Grid_BD!$V:$V)/($AA156+SUMIF(Grid_BD!$B:$B,$A156,Grid_BD!$V:$V))),"")</f>
        <v/>
      </c>
      <c r="S156" s="9"/>
      <c r="T156" s="220"/>
      <c r="U156" s="221" t="str">
        <f t="shared" si="11"/>
        <v/>
      </c>
      <c r="V156" s="221" t="str">
        <f>IFERROR(_xlfn.XLOOKUP($A156,Input_Raw!$A:$A,Input_Raw!$FG:$FG),"")</f>
        <v/>
      </c>
      <c r="W156" s="222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78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22">
        <f>IFERROR(_xlfn.XLOOKUP($D156,'Modelling New'!$D:$D,'Modelling New'!O:O),"")</f>
        <v>0.85441089246197577</v>
      </c>
      <c r="AF156" s="222">
        <f>IFERROR(_xlfn.XLOOKUP($D156,'Modelling New'!$D:$D,'Modelling New'!W:W),"")</f>
        <v>0.14182761454173928</v>
      </c>
      <c r="AG156" s="222">
        <f>IFERROR(_xlfn.XLOOKUP($D156,'Modelling New'!$D:$D,'Modelling New'!AE:AE),"")</f>
        <v>0.995</v>
      </c>
      <c r="AH156" s="222">
        <f>IFERROR(_xlfn.XLOOKUP($D156,'Modelling New'!$D:$D,'Modelling New'!AF:AF),"")</f>
        <v>0.995</v>
      </c>
      <c r="AI156" s="9"/>
      <c r="AJ156" s="9"/>
      <c r="AK156" s="245"/>
      <c r="AL156" s="245"/>
      <c r="AM156" s="245"/>
      <c r="AN156" s="219"/>
      <c r="AO156" s="222"/>
      <c r="AP156" s="222"/>
      <c r="AQ156" s="222"/>
      <c r="AR156" s="223">
        <f>_xlfn.XLOOKUP(D156,'Modelling New'!$D:$D,'Modelling New'!$N:$N)</f>
        <v>130</v>
      </c>
      <c r="AS156" s="223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18">
        <f>Table13[[#This Row],[Date]]-DAY(Table13[[#This Row],[Date]])+1</f>
        <v>45870</v>
      </c>
      <c r="E157" s="9">
        <f t="shared" si="10"/>
        <v>31</v>
      </c>
      <c r="F157" s="188" t="str">
        <f>IFERROR(_xlfn.XLOOKUP($A157,Input_Raw!$A:$A,Input_Raw!$FC:$FC),"")</f>
        <v/>
      </c>
      <c r="G157" s="178" t="str">
        <f>IFERROR(_xlfn.XLOOKUP($A157,Input_Raw!$A:$A,Input_Raw!$CY:$CY),"")</f>
        <v/>
      </c>
      <c r="H157" s="178" t="str">
        <f>IFERROR(_xlfn.XLOOKUP($A157,Input_Raw!$A:$A,Input_Raw!$DA:$DA),"")</f>
        <v/>
      </c>
      <c r="I157" s="178" t="str">
        <f>IFERROR(_xlfn.XLOOKUP($A157,Input_Raw!$A:$A,Input_Raw!$CX:$CX),"")</f>
        <v/>
      </c>
      <c r="J157" s="178" t="str">
        <f>IFERROR(_xlfn.XLOOKUP($A157,Input_Raw!$A:$A,Input_Raw!$CZ:$CZ),"")</f>
        <v/>
      </c>
      <c r="K157" s="190" t="str">
        <f>IFERROR(_xlfn.XLOOKUP($A157,Input_Raw!$A:$A,Input_Raw!$DB:$DB),"")</f>
        <v/>
      </c>
      <c r="L157" s="190" t="str">
        <f>IFERROR(_xlfn.XLOOKUP($A157,Input_Raw!$A:$A,Input_Raw!$DC:$DC),"")</f>
        <v/>
      </c>
      <c r="M157" s="189" t="str">
        <f>IFERROR(_xlfn.XLOOKUP($A157,Input_Raw!$A:$A,Input_Raw!$DF:$DF),"")</f>
        <v/>
      </c>
      <c r="N157" s="189" t="str">
        <f>IFERROR(_xlfn.XLOOKUP($A157,Input_Raw!$A:$A,Input_Raw!$DG:$DG),"")</f>
        <v/>
      </c>
      <c r="O157" s="219" t="str">
        <f>IFERROR(1-(SUMIF(Plant_BD!$B:$B,$A157,Plant_BD!$AL:$AL)/($AA157+SUMIF(Plant_BD!$B:$B,$A157,Plant_BD!$AL:$AL))),"")</f>
        <v/>
      </c>
      <c r="P157" s="219"/>
      <c r="Q157" s="220" t="str">
        <f>IFERROR(1-(SUMIF(Grid_BD!$B:$B,$A157,Grid_BD!$V:$V)/($AA157+SUMIF(Grid_BD!$B:$B,$A157,Grid_BD!$V:$V))),"")</f>
        <v/>
      </c>
      <c r="R157" s="219" t="str">
        <f>IFERROR(1-(SUMIF(Grid_BD!$B:$B,$A157,Grid_BD!$V:$V)/($AA157+SUMIF(Grid_BD!$B:$B,$A157,Grid_BD!$V:$V))),"")</f>
        <v/>
      </c>
      <c r="S157" s="9"/>
      <c r="T157" s="220"/>
      <c r="U157" s="221" t="str">
        <f t="shared" si="11"/>
        <v/>
      </c>
      <c r="V157" s="221" t="str">
        <f>IFERROR(_xlfn.XLOOKUP($A157,Input_Raw!$A:$A,Input_Raw!$FG:$FG),"")</f>
        <v/>
      </c>
      <c r="W157" s="222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78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22">
        <f>IFERROR(_xlfn.XLOOKUP($D157,'Modelling New'!$D:$D,'Modelling New'!O:O),"")</f>
        <v>0.85441089246197577</v>
      </c>
      <c r="AF157" s="222">
        <f>IFERROR(_xlfn.XLOOKUP($D157,'Modelling New'!$D:$D,'Modelling New'!W:W),"")</f>
        <v>0.14182761454173928</v>
      </c>
      <c r="AG157" s="222">
        <f>IFERROR(_xlfn.XLOOKUP($D157,'Modelling New'!$D:$D,'Modelling New'!AE:AE),"")</f>
        <v>0.995</v>
      </c>
      <c r="AH157" s="222">
        <f>IFERROR(_xlfn.XLOOKUP($D157,'Modelling New'!$D:$D,'Modelling New'!AF:AF),"")</f>
        <v>0.995</v>
      </c>
      <c r="AI157" s="9"/>
      <c r="AJ157" s="9"/>
      <c r="AK157" s="245"/>
      <c r="AL157" s="245"/>
      <c r="AM157" s="245"/>
      <c r="AN157" s="219"/>
      <c r="AO157" s="222"/>
      <c r="AP157" s="222"/>
      <c r="AQ157" s="222"/>
      <c r="AR157" s="223">
        <f>_xlfn.XLOOKUP(D157,'Modelling New'!$D:$D,'Modelling New'!$N:$N)</f>
        <v>130</v>
      </c>
      <c r="AS157" s="223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18">
        <f>Table13[[#This Row],[Date]]-DAY(Table13[[#This Row],[Date]])+1</f>
        <v>45901</v>
      </c>
      <c r="E158" s="9">
        <f t="shared" si="10"/>
        <v>30</v>
      </c>
      <c r="F158" s="188" t="str">
        <f>IFERROR(_xlfn.XLOOKUP($A158,Input_Raw!$A:$A,Input_Raw!$FC:$FC),"")</f>
        <v/>
      </c>
      <c r="G158" s="189" t="str">
        <f>IFERROR(_xlfn.XLOOKUP($A158,Input_Raw!$A:$A,Input_Raw!$CY:$CY),"")</f>
        <v/>
      </c>
      <c r="H158" s="189" t="str">
        <f>IFERROR(_xlfn.XLOOKUP($A158,Input_Raw!$A:$A,Input_Raw!$DA:$DA),"")</f>
        <v/>
      </c>
      <c r="I158" s="189" t="str">
        <f>IFERROR(_xlfn.XLOOKUP($A158,Input_Raw!$A:$A,Input_Raw!$CX:$CX),"")</f>
        <v/>
      </c>
      <c r="J158" s="189" t="str">
        <f>IFERROR(_xlfn.XLOOKUP($A158,Input_Raw!$A:$A,Input_Raw!$CZ:$CZ),"")</f>
        <v/>
      </c>
      <c r="K158" s="190" t="str">
        <f>IFERROR(_xlfn.XLOOKUP($A158,Input_Raw!$A:$A,Input_Raw!$DB:$DB),"")</f>
        <v/>
      </c>
      <c r="L158" s="190" t="str">
        <f>IFERROR(_xlfn.XLOOKUP($A158,Input_Raw!$A:$A,Input_Raw!$DC:$DC),"")</f>
        <v/>
      </c>
      <c r="M158" s="189" t="str">
        <f>IFERROR(_xlfn.XLOOKUP($A158,Input_Raw!$A:$A,Input_Raw!$DF:$DF),"")</f>
        <v/>
      </c>
      <c r="N158" s="189" t="str">
        <f>IFERROR(_xlfn.XLOOKUP($A158,Input_Raw!$A:$A,Input_Raw!$DG:$DG),"")</f>
        <v/>
      </c>
      <c r="O158" s="219" t="str">
        <f>IFERROR(1-(SUMIF(Plant_BD!$B:$B,$A158,Plant_BD!$AL:$AL)/($AA158+SUMIF(Plant_BD!$B:$B,$A158,Plant_BD!$AL:$AL))),"")</f>
        <v/>
      </c>
      <c r="P158" s="219"/>
      <c r="Q158" s="220" t="str">
        <f>IFERROR(1-(SUMIF(Grid_BD!$B:$B,$A158,Grid_BD!$V:$V)/($AA158+SUMIF(Grid_BD!$B:$B,$A158,Grid_BD!$V:$V))),"")</f>
        <v/>
      </c>
      <c r="R158" s="219" t="str">
        <f>IFERROR(1-(SUMIF(Grid_BD!$B:$B,$A158,Grid_BD!$V:$V)/($AA158+SUMIF(Grid_BD!$B:$B,$A158,Grid_BD!$V:$V))),"")</f>
        <v/>
      </c>
      <c r="S158" s="9"/>
      <c r="T158" s="220"/>
      <c r="U158" s="221" t="str">
        <f t="shared" si="11"/>
        <v/>
      </c>
      <c r="V158" s="221" t="str">
        <f>IFERROR(_xlfn.XLOOKUP($A158,Input_Raw!$A:$A,Input_Raw!$FG:$FG),"")</f>
        <v/>
      </c>
      <c r="W158" s="222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78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22">
        <f>IFERROR(_xlfn.XLOOKUP($D158,'Modelling New'!$D:$D,'Modelling New'!O:O),"")</f>
        <v>0.84314233235469738</v>
      </c>
      <c r="AF158" s="222">
        <f>IFERROR(_xlfn.XLOOKUP($D158,'Modelling New'!$D:$D,'Modelling New'!W:W),"")</f>
        <v>0.17624016808247492</v>
      </c>
      <c r="AG158" s="222">
        <f>IFERROR(_xlfn.XLOOKUP($D158,'Modelling New'!$D:$D,'Modelling New'!AE:AE),"")</f>
        <v>0.995</v>
      </c>
      <c r="AH158" s="222">
        <f>IFERROR(_xlfn.XLOOKUP($D158,'Modelling New'!$D:$D,'Modelling New'!AF:AF),"")</f>
        <v>0.995</v>
      </c>
      <c r="AI158" s="9"/>
      <c r="AJ158" s="9"/>
      <c r="AK158" s="245"/>
      <c r="AL158" s="245"/>
      <c r="AM158" s="245"/>
      <c r="AN158" s="219"/>
      <c r="AO158" s="222"/>
      <c r="AP158" s="222"/>
      <c r="AQ158" s="222"/>
      <c r="AR158" s="223">
        <f>_xlfn.XLOOKUP(D158,'Modelling New'!$D:$D,'Modelling New'!$N:$N)</f>
        <v>130</v>
      </c>
      <c r="AS158" s="223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18">
        <f>Table13[[#This Row],[Date]]-DAY(Table13[[#This Row],[Date]])+1</f>
        <v>45901</v>
      </c>
      <c r="E159" s="9">
        <f t="shared" si="10"/>
        <v>30</v>
      </c>
      <c r="F159" s="188" t="str">
        <f>IFERROR(_xlfn.XLOOKUP($A159,Input_Raw!$A:$A,Input_Raw!$FC:$FC),"")</f>
        <v/>
      </c>
      <c r="G159" s="178" t="str">
        <f>IFERROR(_xlfn.XLOOKUP($A159,Input_Raw!$A:$A,Input_Raw!$CY:$CY),"")</f>
        <v/>
      </c>
      <c r="H159" s="178" t="str">
        <f>IFERROR(_xlfn.XLOOKUP($A159,Input_Raw!$A:$A,Input_Raw!$DA:$DA),"")</f>
        <v/>
      </c>
      <c r="I159" s="178" t="str">
        <f>IFERROR(_xlfn.XLOOKUP($A159,Input_Raw!$A:$A,Input_Raw!$CX:$CX),"")</f>
        <v/>
      </c>
      <c r="J159" s="178" t="str">
        <f>IFERROR(_xlfn.XLOOKUP($A159,Input_Raw!$A:$A,Input_Raw!$CZ:$CZ),"")</f>
        <v/>
      </c>
      <c r="K159" s="190" t="str">
        <f>IFERROR(_xlfn.XLOOKUP($A159,Input_Raw!$A:$A,Input_Raw!$DB:$DB),"")</f>
        <v/>
      </c>
      <c r="L159" s="190" t="str">
        <f>IFERROR(_xlfn.XLOOKUP($A159,Input_Raw!$A:$A,Input_Raw!$DC:$DC),"")</f>
        <v/>
      </c>
      <c r="M159" s="189" t="str">
        <f>IFERROR(_xlfn.XLOOKUP($A159,Input_Raw!$A:$A,Input_Raw!$DF:$DF),"")</f>
        <v/>
      </c>
      <c r="N159" s="189" t="str">
        <f>IFERROR(_xlfn.XLOOKUP($A159,Input_Raw!$A:$A,Input_Raw!$DG:$DG),"")</f>
        <v/>
      </c>
      <c r="O159" s="219" t="str">
        <f>IFERROR(1-(SUMIF(Plant_BD!$B:$B,$A159,Plant_BD!$AL:$AL)/($AA159+SUMIF(Plant_BD!$B:$B,$A159,Plant_BD!$AL:$AL))),"")</f>
        <v/>
      </c>
      <c r="P159" s="219"/>
      <c r="Q159" s="220" t="str">
        <f>IFERROR(1-(SUMIF(Grid_BD!$B:$B,$A159,Grid_BD!$V:$V)/($AA159+SUMIF(Grid_BD!$B:$B,$A159,Grid_BD!$V:$V))),"")</f>
        <v/>
      </c>
      <c r="R159" s="219" t="str">
        <f>IFERROR(1-(SUMIF(Grid_BD!$B:$B,$A159,Grid_BD!$V:$V)/($AA159+SUMIF(Grid_BD!$B:$B,$A159,Grid_BD!$V:$V))),"")</f>
        <v/>
      </c>
      <c r="S159" s="9"/>
      <c r="T159" s="220"/>
      <c r="U159" s="221" t="str">
        <f t="shared" si="11"/>
        <v/>
      </c>
      <c r="V159" s="221" t="str">
        <f>IFERROR(_xlfn.XLOOKUP($A159,Input_Raw!$A:$A,Input_Raw!$FG:$FG),"")</f>
        <v/>
      </c>
      <c r="W159" s="222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78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22">
        <f>IFERROR(_xlfn.XLOOKUP($D159,'Modelling New'!$D:$D,'Modelling New'!O:O),"")</f>
        <v>0.84314233235469738</v>
      </c>
      <c r="AF159" s="222">
        <f>IFERROR(_xlfn.XLOOKUP($D159,'Modelling New'!$D:$D,'Modelling New'!W:W),"")</f>
        <v>0.17624016808247492</v>
      </c>
      <c r="AG159" s="222">
        <f>IFERROR(_xlfn.XLOOKUP($D159,'Modelling New'!$D:$D,'Modelling New'!AE:AE),"")</f>
        <v>0.995</v>
      </c>
      <c r="AH159" s="222">
        <f>IFERROR(_xlfn.XLOOKUP($D159,'Modelling New'!$D:$D,'Modelling New'!AF:AF),"")</f>
        <v>0.995</v>
      </c>
      <c r="AI159" s="9"/>
      <c r="AJ159" s="9"/>
      <c r="AK159" s="245"/>
      <c r="AL159" s="245"/>
      <c r="AM159" s="245"/>
      <c r="AN159" s="219"/>
      <c r="AO159" s="222"/>
      <c r="AP159" s="222"/>
      <c r="AQ159" s="222"/>
      <c r="AR159" s="223">
        <f>_xlfn.XLOOKUP(D159,'Modelling New'!$D:$D,'Modelling New'!$N:$N)</f>
        <v>130</v>
      </c>
      <c r="AS159" s="223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18">
        <f>Table13[[#This Row],[Date]]-DAY(Table13[[#This Row],[Date]])+1</f>
        <v>45901</v>
      </c>
      <c r="E160" s="9">
        <f t="shared" si="10"/>
        <v>30</v>
      </c>
      <c r="F160" s="188" t="str">
        <f>IFERROR(_xlfn.XLOOKUP($A160,Input_Raw!$A:$A,Input_Raw!$FC:$FC),"")</f>
        <v/>
      </c>
      <c r="G160" s="189" t="str">
        <f>IFERROR(_xlfn.XLOOKUP($A160,Input_Raw!$A:$A,Input_Raw!$CY:$CY),"")</f>
        <v/>
      </c>
      <c r="H160" s="189" t="str">
        <f>IFERROR(_xlfn.XLOOKUP($A160,Input_Raw!$A:$A,Input_Raw!$DA:$DA),"")</f>
        <v/>
      </c>
      <c r="I160" s="189" t="str">
        <f>IFERROR(_xlfn.XLOOKUP($A160,Input_Raw!$A:$A,Input_Raw!$CX:$CX),"")</f>
        <v/>
      </c>
      <c r="J160" s="189" t="str">
        <f>IFERROR(_xlfn.XLOOKUP($A160,Input_Raw!$A:$A,Input_Raw!$CZ:$CZ),"")</f>
        <v/>
      </c>
      <c r="K160" s="190" t="str">
        <f>IFERROR(_xlfn.XLOOKUP($A160,Input_Raw!$A:$A,Input_Raw!$DB:$DB),"")</f>
        <v/>
      </c>
      <c r="L160" s="190" t="str">
        <f>IFERROR(_xlfn.XLOOKUP($A160,Input_Raw!$A:$A,Input_Raw!$DC:$DC),"")</f>
        <v/>
      </c>
      <c r="M160" s="189" t="str">
        <f>IFERROR(_xlfn.XLOOKUP($A160,Input_Raw!$A:$A,Input_Raw!$DF:$DF),"")</f>
        <v/>
      </c>
      <c r="N160" s="189" t="str">
        <f>IFERROR(_xlfn.XLOOKUP($A160,Input_Raw!$A:$A,Input_Raw!$DG:$DG),"")</f>
        <v/>
      </c>
      <c r="O160" s="219" t="str">
        <f>IFERROR(1-(SUMIF(Plant_BD!$B:$B,$A160,Plant_BD!$AL:$AL)/($AA160+SUMIF(Plant_BD!$B:$B,$A160,Plant_BD!$AL:$AL))),"")</f>
        <v/>
      </c>
      <c r="P160" s="219"/>
      <c r="Q160" s="220" t="str">
        <f>IFERROR(1-(SUMIF(Grid_BD!$B:$B,$A160,Grid_BD!$V:$V)/($AA160+SUMIF(Grid_BD!$B:$B,$A160,Grid_BD!$V:$V))),"")</f>
        <v/>
      </c>
      <c r="R160" s="219" t="str">
        <f>IFERROR(1-(SUMIF(Grid_BD!$B:$B,$A160,Grid_BD!$V:$V)/($AA160+SUMIF(Grid_BD!$B:$B,$A160,Grid_BD!$V:$V))),"")</f>
        <v/>
      </c>
      <c r="S160" s="9"/>
      <c r="T160" s="220"/>
      <c r="U160" s="221" t="str">
        <f t="shared" si="11"/>
        <v/>
      </c>
      <c r="V160" s="221" t="str">
        <f>IFERROR(_xlfn.XLOOKUP($A160,Input_Raw!$A:$A,Input_Raw!$FG:$FG),"")</f>
        <v/>
      </c>
      <c r="W160" s="222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78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22">
        <f>IFERROR(_xlfn.XLOOKUP($D160,'Modelling New'!$D:$D,'Modelling New'!O:O),"")</f>
        <v>0.84314233235469738</v>
      </c>
      <c r="AF160" s="222">
        <f>IFERROR(_xlfn.XLOOKUP($D160,'Modelling New'!$D:$D,'Modelling New'!W:W),"")</f>
        <v>0.17624016808247492</v>
      </c>
      <c r="AG160" s="222">
        <f>IFERROR(_xlfn.XLOOKUP($D160,'Modelling New'!$D:$D,'Modelling New'!AE:AE),"")</f>
        <v>0.995</v>
      </c>
      <c r="AH160" s="222">
        <f>IFERROR(_xlfn.XLOOKUP($D160,'Modelling New'!$D:$D,'Modelling New'!AF:AF),"")</f>
        <v>0.995</v>
      </c>
      <c r="AI160" s="9"/>
      <c r="AJ160" s="9"/>
      <c r="AK160" s="245"/>
      <c r="AL160" s="245"/>
      <c r="AM160" s="245"/>
      <c r="AN160" s="219"/>
      <c r="AO160" s="222"/>
      <c r="AP160" s="222"/>
      <c r="AQ160" s="222"/>
      <c r="AR160" s="223">
        <f>_xlfn.XLOOKUP(D160,'Modelling New'!$D:$D,'Modelling New'!$N:$N)</f>
        <v>130</v>
      </c>
      <c r="AS160" s="223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18">
        <f>Table13[[#This Row],[Date]]-DAY(Table13[[#This Row],[Date]])+1</f>
        <v>45901</v>
      </c>
      <c r="E161" s="9">
        <f t="shared" si="10"/>
        <v>30</v>
      </c>
      <c r="F161" s="188" t="str">
        <f>IFERROR(_xlfn.XLOOKUP($A161,Input_Raw!$A:$A,Input_Raw!$FC:$FC),"")</f>
        <v/>
      </c>
      <c r="G161" s="178" t="str">
        <f>IFERROR(_xlfn.XLOOKUP($A161,Input_Raw!$A:$A,Input_Raw!$CY:$CY),"")</f>
        <v/>
      </c>
      <c r="H161" s="178" t="str">
        <f>IFERROR(_xlfn.XLOOKUP($A161,Input_Raw!$A:$A,Input_Raw!$DA:$DA),"")</f>
        <v/>
      </c>
      <c r="I161" s="178" t="str">
        <f>IFERROR(_xlfn.XLOOKUP($A161,Input_Raw!$A:$A,Input_Raw!$CX:$CX),"")</f>
        <v/>
      </c>
      <c r="J161" s="178" t="str">
        <f>IFERROR(_xlfn.XLOOKUP($A161,Input_Raw!$A:$A,Input_Raw!$CZ:$CZ),"")</f>
        <v/>
      </c>
      <c r="K161" s="190" t="str">
        <f>IFERROR(_xlfn.XLOOKUP($A161,Input_Raw!$A:$A,Input_Raw!$DB:$DB),"")</f>
        <v/>
      </c>
      <c r="L161" s="190" t="str">
        <f>IFERROR(_xlfn.XLOOKUP($A161,Input_Raw!$A:$A,Input_Raw!$DC:$DC),"")</f>
        <v/>
      </c>
      <c r="M161" s="189" t="str">
        <f>IFERROR(_xlfn.XLOOKUP($A161,Input_Raw!$A:$A,Input_Raw!$DF:$DF),"")</f>
        <v/>
      </c>
      <c r="N161" s="189" t="str">
        <f>IFERROR(_xlfn.XLOOKUP($A161,Input_Raw!$A:$A,Input_Raw!$DG:$DG),"")</f>
        <v/>
      </c>
      <c r="O161" s="219" t="str">
        <f>IFERROR(1-(SUMIF(Plant_BD!$B:$B,$A161,Plant_BD!$AL:$AL)/($AA161+SUMIF(Plant_BD!$B:$B,$A161,Plant_BD!$AL:$AL))),"")</f>
        <v/>
      </c>
      <c r="P161" s="219"/>
      <c r="Q161" s="220" t="str">
        <f>IFERROR(1-(SUMIF(Grid_BD!$B:$B,$A161,Grid_BD!$V:$V)/($AA161+SUMIF(Grid_BD!$B:$B,$A161,Grid_BD!$V:$V))),"")</f>
        <v/>
      </c>
      <c r="R161" s="219" t="str">
        <f>IFERROR(1-(SUMIF(Grid_BD!$B:$B,$A161,Grid_BD!$V:$V)/($AA161+SUMIF(Grid_BD!$B:$B,$A161,Grid_BD!$V:$V))),"")</f>
        <v/>
      </c>
      <c r="S161" s="9"/>
      <c r="T161" s="220"/>
      <c r="U161" s="221" t="str">
        <f t="shared" si="11"/>
        <v/>
      </c>
      <c r="V161" s="221" t="str">
        <f>IFERROR(_xlfn.XLOOKUP($A161,Input_Raw!$A:$A,Input_Raw!$FG:$FG),"")</f>
        <v/>
      </c>
      <c r="W161" s="222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78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22">
        <f>IFERROR(_xlfn.XLOOKUP($D161,'Modelling New'!$D:$D,'Modelling New'!O:O),"")</f>
        <v>0.84314233235469738</v>
      </c>
      <c r="AF161" s="222">
        <f>IFERROR(_xlfn.XLOOKUP($D161,'Modelling New'!$D:$D,'Modelling New'!W:W),"")</f>
        <v>0.17624016808247492</v>
      </c>
      <c r="AG161" s="222">
        <f>IFERROR(_xlfn.XLOOKUP($D161,'Modelling New'!$D:$D,'Modelling New'!AE:AE),"")</f>
        <v>0.995</v>
      </c>
      <c r="AH161" s="222">
        <f>IFERROR(_xlfn.XLOOKUP($D161,'Modelling New'!$D:$D,'Modelling New'!AF:AF),"")</f>
        <v>0.995</v>
      </c>
      <c r="AI161" s="9"/>
      <c r="AJ161" s="9"/>
      <c r="AK161" s="245"/>
      <c r="AL161" s="245"/>
      <c r="AM161" s="245"/>
      <c r="AN161" s="219"/>
      <c r="AO161" s="222"/>
      <c r="AP161" s="222"/>
      <c r="AQ161" s="222"/>
      <c r="AR161" s="223">
        <f>_xlfn.XLOOKUP(D161,'Modelling New'!$D:$D,'Modelling New'!$N:$N)</f>
        <v>130</v>
      </c>
      <c r="AS161" s="223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18">
        <f>Table13[[#This Row],[Date]]-DAY(Table13[[#This Row],[Date]])+1</f>
        <v>45901</v>
      </c>
      <c r="E162" s="9">
        <f t="shared" si="10"/>
        <v>30</v>
      </c>
      <c r="F162" s="188" t="str">
        <f>IFERROR(_xlfn.XLOOKUP($A162,Input_Raw!$A:$A,Input_Raw!$FC:$FC),"")</f>
        <v/>
      </c>
      <c r="G162" s="189" t="str">
        <f>IFERROR(_xlfn.XLOOKUP($A162,Input_Raw!$A:$A,Input_Raw!$CY:$CY),"")</f>
        <v/>
      </c>
      <c r="H162" s="189" t="str">
        <f>IFERROR(_xlfn.XLOOKUP($A162,Input_Raw!$A:$A,Input_Raw!$DA:$DA),"")</f>
        <v/>
      </c>
      <c r="I162" s="189" t="str">
        <f>IFERROR(_xlfn.XLOOKUP($A162,Input_Raw!$A:$A,Input_Raw!$CX:$CX),"")</f>
        <v/>
      </c>
      <c r="J162" s="189" t="str">
        <f>IFERROR(_xlfn.XLOOKUP($A162,Input_Raw!$A:$A,Input_Raw!$CZ:$CZ),"")</f>
        <v/>
      </c>
      <c r="K162" s="190" t="str">
        <f>IFERROR(_xlfn.XLOOKUP($A162,Input_Raw!$A:$A,Input_Raw!$DB:$DB),"")</f>
        <v/>
      </c>
      <c r="L162" s="190" t="str">
        <f>IFERROR(_xlfn.XLOOKUP($A162,Input_Raw!$A:$A,Input_Raw!$DC:$DC),"")</f>
        <v/>
      </c>
      <c r="M162" s="189" t="str">
        <f>IFERROR(_xlfn.XLOOKUP($A162,Input_Raw!$A:$A,Input_Raw!$DF:$DF),"")</f>
        <v/>
      </c>
      <c r="N162" s="189" t="str">
        <f>IFERROR(_xlfn.XLOOKUP($A162,Input_Raw!$A:$A,Input_Raw!$DG:$DG),"")</f>
        <v/>
      </c>
      <c r="O162" s="219" t="str">
        <f>IFERROR(1-(SUMIF(Plant_BD!$B:$B,$A162,Plant_BD!$AL:$AL)/($AA162+SUMIF(Plant_BD!$B:$B,$A162,Plant_BD!$AL:$AL))),"")</f>
        <v/>
      </c>
      <c r="P162" s="219"/>
      <c r="Q162" s="220" t="str">
        <f>IFERROR(1-(SUMIF(Grid_BD!$B:$B,$A162,Grid_BD!$V:$V)/($AA162+SUMIF(Grid_BD!$B:$B,$A162,Grid_BD!$V:$V))),"")</f>
        <v/>
      </c>
      <c r="R162" s="219" t="str">
        <f>IFERROR(1-(SUMIF(Grid_BD!$B:$B,$A162,Grid_BD!$V:$V)/($AA162+SUMIF(Grid_BD!$B:$B,$A162,Grid_BD!$V:$V))),"")</f>
        <v/>
      </c>
      <c r="S162" s="9"/>
      <c r="T162" s="220"/>
      <c r="U162" s="221" t="str">
        <f t="shared" si="11"/>
        <v/>
      </c>
      <c r="V162" s="221" t="str">
        <f>IFERROR(_xlfn.XLOOKUP($A162,Input_Raw!$A:$A,Input_Raw!$FG:$FG),"")</f>
        <v/>
      </c>
      <c r="W162" s="222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78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22">
        <f>IFERROR(_xlfn.XLOOKUP($D162,'Modelling New'!$D:$D,'Modelling New'!O:O),"")</f>
        <v>0.84314233235469738</v>
      </c>
      <c r="AF162" s="222">
        <f>IFERROR(_xlfn.XLOOKUP($D162,'Modelling New'!$D:$D,'Modelling New'!W:W),"")</f>
        <v>0.17624016808247492</v>
      </c>
      <c r="AG162" s="222">
        <f>IFERROR(_xlfn.XLOOKUP($D162,'Modelling New'!$D:$D,'Modelling New'!AE:AE),"")</f>
        <v>0.995</v>
      </c>
      <c r="AH162" s="222">
        <f>IFERROR(_xlfn.XLOOKUP($D162,'Modelling New'!$D:$D,'Modelling New'!AF:AF),"")</f>
        <v>0.995</v>
      </c>
      <c r="AI162" s="9"/>
      <c r="AJ162" s="9"/>
      <c r="AK162" s="245"/>
      <c r="AL162" s="245"/>
      <c r="AM162" s="245"/>
      <c r="AN162" s="219"/>
      <c r="AO162" s="222"/>
      <c r="AP162" s="222"/>
      <c r="AQ162" s="222"/>
      <c r="AR162" s="223">
        <f>_xlfn.XLOOKUP(D162,'Modelling New'!$D:$D,'Modelling New'!$N:$N)</f>
        <v>130</v>
      </c>
      <c r="AS162" s="223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18">
        <f>Table13[[#This Row],[Date]]-DAY(Table13[[#This Row],[Date]])+1</f>
        <v>45901</v>
      </c>
      <c r="E163" s="9">
        <f t="shared" si="10"/>
        <v>30</v>
      </c>
      <c r="F163" s="188" t="str">
        <f>IFERROR(_xlfn.XLOOKUP($A163,Input_Raw!$A:$A,Input_Raw!$FC:$FC),"")</f>
        <v/>
      </c>
      <c r="G163" s="178" t="str">
        <f>IFERROR(_xlfn.XLOOKUP($A163,Input_Raw!$A:$A,Input_Raw!$CY:$CY),"")</f>
        <v/>
      </c>
      <c r="H163" s="178" t="str">
        <f>IFERROR(_xlfn.XLOOKUP($A163,Input_Raw!$A:$A,Input_Raw!$DA:$DA),"")</f>
        <v/>
      </c>
      <c r="I163" s="178" t="str">
        <f>IFERROR(_xlfn.XLOOKUP($A163,Input_Raw!$A:$A,Input_Raw!$CX:$CX),"")</f>
        <v/>
      </c>
      <c r="J163" s="178" t="str">
        <f>IFERROR(_xlfn.XLOOKUP($A163,Input_Raw!$A:$A,Input_Raw!$CZ:$CZ),"")</f>
        <v/>
      </c>
      <c r="K163" s="190" t="str">
        <f>IFERROR(_xlfn.XLOOKUP($A163,Input_Raw!$A:$A,Input_Raw!$DB:$DB),"")</f>
        <v/>
      </c>
      <c r="L163" s="190" t="str">
        <f>IFERROR(_xlfn.XLOOKUP($A163,Input_Raw!$A:$A,Input_Raw!$DC:$DC),"")</f>
        <v/>
      </c>
      <c r="M163" s="189" t="str">
        <f>IFERROR(_xlfn.XLOOKUP($A163,Input_Raw!$A:$A,Input_Raw!$DF:$DF),"")</f>
        <v/>
      </c>
      <c r="N163" s="189" t="str">
        <f>IFERROR(_xlfn.XLOOKUP($A163,Input_Raw!$A:$A,Input_Raw!$DG:$DG),"")</f>
        <v/>
      </c>
      <c r="O163" s="219" t="str">
        <f>IFERROR(1-(SUMIF(Plant_BD!$B:$B,$A163,Plant_BD!$AL:$AL)/($AA163+SUMIF(Plant_BD!$B:$B,$A163,Plant_BD!$AL:$AL))),"")</f>
        <v/>
      </c>
      <c r="P163" s="219"/>
      <c r="Q163" s="220" t="str">
        <f>IFERROR(1-(SUMIF(Grid_BD!$B:$B,$A163,Grid_BD!$V:$V)/($AA163+SUMIF(Grid_BD!$B:$B,$A163,Grid_BD!$V:$V))),"")</f>
        <v/>
      </c>
      <c r="R163" s="219" t="str">
        <f>IFERROR(1-(SUMIF(Grid_BD!$B:$B,$A163,Grid_BD!$V:$V)/($AA163+SUMIF(Grid_BD!$B:$B,$A163,Grid_BD!$V:$V))),"")</f>
        <v/>
      </c>
      <c r="S163" s="9"/>
      <c r="T163" s="220"/>
      <c r="U163" s="221" t="str">
        <f t="shared" si="11"/>
        <v/>
      </c>
      <c r="V163" s="221" t="str">
        <f>IFERROR(_xlfn.XLOOKUP($A163,Input_Raw!$A:$A,Input_Raw!$FG:$FG),"")</f>
        <v/>
      </c>
      <c r="W163" s="222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78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22">
        <f>IFERROR(_xlfn.XLOOKUP($D163,'Modelling New'!$D:$D,'Modelling New'!O:O),"")</f>
        <v>0.84314233235469738</v>
      </c>
      <c r="AF163" s="222">
        <f>IFERROR(_xlfn.XLOOKUP($D163,'Modelling New'!$D:$D,'Modelling New'!W:W),"")</f>
        <v>0.17624016808247492</v>
      </c>
      <c r="AG163" s="222">
        <f>IFERROR(_xlfn.XLOOKUP($D163,'Modelling New'!$D:$D,'Modelling New'!AE:AE),"")</f>
        <v>0.995</v>
      </c>
      <c r="AH163" s="222">
        <f>IFERROR(_xlfn.XLOOKUP($D163,'Modelling New'!$D:$D,'Modelling New'!AF:AF),"")</f>
        <v>0.995</v>
      </c>
      <c r="AI163" s="9"/>
      <c r="AJ163" s="9"/>
      <c r="AK163" s="245"/>
      <c r="AL163" s="245"/>
      <c r="AM163" s="245"/>
      <c r="AN163" s="219"/>
      <c r="AO163" s="222"/>
      <c r="AP163" s="222"/>
      <c r="AQ163" s="222"/>
      <c r="AR163" s="223">
        <f>_xlfn.XLOOKUP(D163,'Modelling New'!$D:$D,'Modelling New'!$N:$N)</f>
        <v>130</v>
      </c>
      <c r="AS163" s="223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18">
        <f>Table13[[#This Row],[Date]]-DAY(Table13[[#This Row],[Date]])+1</f>
        <v>45901</v>
      </c>
      <c r="E164" s="9">
        <f t="shared" si="10"/>
        <v>30</v>
      </c>
      <c r="F164" s="188" t="str">
        <f>IFERROR(_xlfn.XLOOKUP($A164,Input_Raw!$A:$A,Input_Raw!$FC:$FC),"")</f>
        <v/>
      </c>
      <c r="G164" s="189" t="str">
        <f>IFERROR(_xlfn.XLOOKUP($A164,Input_Raw!$A:$A,Input_Raw!$CY:$CY),"")</f>
        <v/>
      </c>
      <c r="H164" s="189" t="str">
        <f>IFERROR(_xlfn.XLOOKUP($A164,Input_Raw!$A:$A,Input_Raw!$DA:$DA),"")</f>
        <v/>
      </c>
      <c r="I164" s="189" t="str">
        <f>IFERROR(_xlfn.XLOOKUP($A164,Input_Raw!$A:$A,Input_Raw!$CX:$CX),"")</f>
        <v/>
      </c>
      <c r="J164" s="189" t="str">
        <f>IFERROR(_xlfn.XLOOKUP($A164,Input_Raw!$A:$A,Input_Raw!$CZ:$CZ),"")</f>
        <v/>
      </c>
      <c r="K164" s="190" t="str">
        <f>IFERROR(_xlfn.XLOOKUP($A164,Input_Raw!$A:$A,Input_Raw!$DB:$DB),"")</f>
        <v/>
      </c>
      <c r="L164" s="190" t="str">
        <f>IFERROR(_xlfn.XLOOKUP($A164,Input_Raw!$A:$A,Input_Raw!$DC:$DC),"")</f>
        <v/>
      </c>
      <c r="M164" s="189" t="str">
        <f>IFERROR(_xlfn.XLOOKUP($A164,Input_Raw!$A:$A,Input_Raw!$DF:$DF),"")</f>
        <v/>
      </c>
      <c r="N164" s="189" t="str">
        <f>IFERROR(_xlfn.XLOOKUP($A164,Input_Raw!$A:$A,Input_Raw!$DG:$DG),"")</f>
        <v/>
      </c>
      <c r="O164" s="219" t="str">
        <f>IFERROR(1-(SUMIF(Plant_BD!$B:$B,$A164,Plant_BD!$AL:$AL)/($AA164+SUMIF(Plant_BD!$B:$B,$A164,Plant_BD!$AL:$AL))),"")</f>
        <v/>
      </c>
      <c r="P164" s="219"/>
      <c r="Q164" s="220" t="str">
        <f>IFERROR(1-(SUMIF(Grid_BD!$B:$B,$A164,Grid_BD!$V:$V)/($AA164+SUMIF(Grid_BD!$B:$B,$A164,Grid_BD!$V:$V))),"")</f>
        <v/>
      </c>
      <c r="R164" s="219" t="str">
        <f>IFERROR(1-(SUMIF(Grid_BD!$B:$B,$A164,Grid_BD!$V:$V)/($AA164+SUMIF(Grid_BD!$B:$B,$A164,Grid_BD!$V:$V))),"")</f>
        <v/>
      </c>
      <c r="S164" s="9"/>
      <c r="T164" s="220"/>
      <c r="U164" s="221" t="str">
        <f t="shared" si="11"/>
        <v/>
      </c>
      <c r="V164" s="221" t="str">
        <f>IFERROR(_xlfn.XLOOKUP($A164,Input_Raw!$A:$A,Input_Raw!$FG:$FG),"")</f>
        <v/>
      </c>
      <c r="W164" s="222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78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22">
        <f>IFERROR(_xlfn.XLOOKUP($D164,'Modelling New'!$D:$D,'Modelling New'!O:O),"")</f>
        <v>0.84314233235469738</v>
      </c>
      <c r="AF164" s="222">
        <f>IFERROR(_xlfn.XLOOKUP($D164,'Modelling New'!$D:$D,'Modelling New'!W:W),"")</f>
        <v>0.17624016808247492</v>
      </c>
      <c r="AG164" s="222">
        <f>IFERROR(_xlfn.XLOOKUP($D164,'Modelling New'!$D:$D,'Modelling New'!AE:AE),"")</f>
        <v>0.995</v>
      </c>
      <c r="AH164" s="222">
        <f>IFERROR(_xlfn.XLOOKUP($D164,'Modelling New'!$D:$D,'Modelling New'!AF:AF),"")</f>
        <v>0.995</v>
      </c>
      <c r="AI164" s="9"/>
      <c r="AJ164" s="9"/>
      <c r="AK164" s="245"/>
      <c r="AL164" s="245"/>
      <c r="AM164" s="245"/>
      <c r="AN164" s="219"/>
      <c r="AO164" s="222"/>
      <c r="AP164" s="222"/>
      <c r="AQ164" s="222"/>
      <c r="AR164" s="223">
        <f>_xlfn.XLOOKUP(D164,'Modelling New'!$D:$D,'Modelling New'!$N:$N)</f>
        <v>130</v>
      </c>
      <c r="AS164" s="223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18">
        <f>Table13[[#This Row],[Date]]-DAY(Table13[[#This Row],[Date]])+1</f>
        <v>45901</v>
      </c>
      <c r="E165" s="9">
        <f t="shared" si="10"/>
        <v>30</v>
      </c>
      <c r="F165" s="188" t="str">
        <f>IFERROR(_xlfn.XLOOKUP($A165,Input_Raw!$A:$A,Input_Raw!$FC:$FC),"")</f>
        <v/>
      </c>
      <c r="G165" s="178" t="str">
        <f>IFERROR(_xlfn.XLOOKUP($A165,Input_Raw!$A:$A,Input_Raw!$CY:$CY),"")</f>
        <v/>
      </c>
      <c r="H165" s="178" t="str">
        <f>IFERROR(_xlfn.XLOOKUP($A165,Input_Raw!$A:$A,Input_Raw!$DA:$DA),"")</f>
        <v/>
      </c>
      <c r="I165" s="178" t="str">
        <f>IFERROR(_xlfn.XLOOKUP($A165,Input_Raw!$A:$A,Input_Raw!$CX:$CX),"")</f>
        <v/>
      </c>
      <c r="J165" s="178" t="str">
        <f>IFERROR(_xlfn.XLOOKUP($A165,Input_Raw!$A:$A,Input_Raw!$CZ:$CZ),"")</f>
        <v/>
      </c>
      <c r="K165" s="190" t="str">
        <f>IFERROR(_xlfn.XLOOKUP($A165,Input_Raw!$A:$A,Input_Raw!$DB:$DB),"")</f>
        <v/>
      </c>
      <c r="L165" s="190" t="str">
        <f>IFERROR(_xlfn.XLOOKUP($A165,Input_Raw!$A:$A,Input_Raw!$DC:$DC),"")</f>
        <v/>
      </c>
      <c r="M165" s="189" t="str">
        <f>IFERROR(_xlfn.XLOOKUP($A165,Input_Raw!$A:$A,Input_Raw!$DF:$DF),"")</f>
        <v/>
      </c>
      <c r="N165" s="189" t="str">
        <f>IFERROR(_xlfn.XLOOKUP($A165,Input_Raw!$A:$A,Input_Raw!$DG:$DG),"")</f>
        <v/>
      </c>
      <c r="O165" s="219" t="str">
        <f>IFERROR(1-(SUMIF(Plant_BD!$B:$B,$A165,Plant_BD!$AL:$AL)/($AA165+SUMIF(Plant_BD!$B:$B,$A165,Plant_BD!$AL:$AL))),"")</f>
        <v/>
      </c>
      <c r="P165" s="219"/>
      <c r="Q165" s="220" t="str">
        <f>IFERROR(1-(SUMIF(Grid_BD!$B:$B,$A165,Grid_BD!$V:$V)/($AA165+SUMIF(Grid_BD!$B:$B,$A165,Grid_BD!$V:$V))),"")</f>
        <v/>
      </c>
      <c r="R165" s="219" t="str">
        <f>IFERROR(1-(SUMIF(Grid_BD!$B:$B,$A165,Grid_BD!$V:$V)/($AA165+SUMIF(Grid_BD!$B:$B,$A165,Grid_BD!$V:$V))),"")</f>
        <v/>
      </c>
      <c r="S165" s="9"/>
      <c r="T165" s="220"/>
      <c r="U165" s="221" t="str">
        <f t="shared" si="11"/>
        <v/>
      </c>
      <c r="V165" s="221" t="str">
        <f>IFERROR(_xlfn.XLOOKUP($A165,Input_Raw!$A:$A,Input_Raw!$FG:$FG),"")</f>
        <v/>
      </c>
      <c r="W165" s="222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78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22">
        <f>IFERROR(_xlfn.XLOOKUP($D165,'Modelling New'!$D:$D,'Modelling New'!O:O),"")</f>
        <v>0.84314233235469738</v>
      </c>
      <c r="AF165" s="222">
        <f>IFERROR(_xlfn.XLOOKUP($D165,'Modelling New'!$D:$D,'Modelling New'!W:W),"")</f>
        <v>0.17624016808247492</v>
      </c>
      <c r="AG165" s="222">
        <f>IFERROR(_xlfn.XLOOKUP($D165,'Modelling New'!$D:$D,'Modelling New'!AE:AE),"")</f>
        <v>0.995</v>
      </c>
      <c r="AH165" s="222">
        <f>IFERROR(_xlfn.XLOOKUP($D165,'Modelling New'!$D:$D,'Modelling New'!AF:AF),"")</f>
        <v>0.995</v>
      </c>
      <c r="AI165" s="9"/>
      <c r="AJ165" s="9"/>
      <c r="AK165" s="245"/>
      <c r="AL165" s="245"/>
      <c r="AM165" s="245"/>
      <c r="AN165" s="219"/>
      <c r="AO165" s="222"/>
      <c r="AP165" s="222"/>
      <c r="AQ165" s="222"/>
      <c r="AR165" s="223">
        <f>_xlfn.XLOOKUP(D165,'Modelling New'!$D:$D,'Modelling New'!$N:$N)</f>
        <v>130</v>
      </c>
      <c r="AS165" s="223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18">
        <f>Table13[[#This Row],[Date]]-DAY(Table13[[#This Row],[Date]])+1</f>
        <v>45901</v>
      </c>
      <c r="E166" s="9">
        <f t="shared" si="10"/>
        <v>30</v>
      </c>
      <c r="F166" s="188" t="str">
        <f>IFERROR(_xlfn.XLOOKUP($A166,Input_Raw!$A:$A,Input_Raw!$FC:$FC),"")</f>
        <v/>
      </c>
      <c r="G166" s="189" t="str">
        <f>IFERROR(_xlfn.XLOOKUP($A166,Input_Raw!$A:$A,Input_Raw!$CY:$CY),"")</f>
        <v/>
      </c>
      <c r="H166" s="189" t="str">
        <f>IFERROR(_xlfn.XLOOKUP($A166,Input_Raw!$A:$A,Input_Raw!$DA:$DA),"")</f>
        <v/>
      </c>
      <c r="I166" s="189" t="str">
        <f>IFERROR(_xlfn.XLOOKUP($A166,Input_Raw!$A:$A,Input_Raw!$CX:$CX),"")</f>
        <v/>
      </c>
      <c r="J166" s="189" t="str">
        <f>IFERROR(_xlfn.XLOOKUP($A166,Input_Raw!$A:$A,Input_Raw!$CZ:$CZ),"")</f>
        <v/>
      </c>
      <c r="K166" s="190" t="str">
        <f>IFERROR(_xlfn.XLOOKUP($A166,Input_Raw!$A:$A,Input_Raw!$DB:$DB),"")</f>
        <v/>
      </c>
      <c r="L166" s="190" t="str">
        <f>IFERROR(_xlfn.XLOOKUP($A166,Input_Raw!$A:$A,Input_Raw!$DC:$DC),"")</f>
        <v/>
      </c>
      <c r="M166" s="189" t="str">
        <f>IFERROR(_xlfn.XLOOKUP($A166,Input_Raw!$A:$A,Input_Raw!$DF:$DF),"")</f>
        <v/>
      </c>
      <c r="N166" s="189" t="str">
        <f>IFERROR(_xlfn.XLOOKUP($A166,Input_Raw!$A:$A,Input_Raw!$DG:$DG),"")</f>
        <v/>
      </c>
      <c r="O166" s="219" t="str">
        <f>IFERROR(1-(SUMIF(Plant_BD!$B:$B,$A166,Plant_BD!$AL:$AL)/($AA166+SUMIF(Plant_BD!$B:$B,$A166,Plant_BD!$AL:$AL))),"")</f>
        <v/>
      </c>
      <c r="P166" s="219"/>
      <c r="Q166" s="220" t="str">
        <f>IFERROR(1-(SUMIF(Grid_BD!$B:$B,$A166,Grid_BD!$V:$V)/($AA166+SUMIF(Grid_BD!$B:$B,$A166,Grid_BD!$V:$V))),"")</f>
        <v/>
      </c>
      <c r="R166" s="219" t="str">
        <f>IFERROR(1-(SUMIF(Grid_BD!$B:$B,$A166,Grid_BD!$V:$V)/($AA166+SUMIF(Grid_BD!$B:$B,$A166,Grid_BD!$V:$V))),"")</f>
        <v/>
      </c>
      <c r="S166" s="9"/>
      <c r="T166" s="220"/>
      <c r="U166" s="221" t="str">
        <f t="shared" si="11"/>
        <v/>
      </c>
      <c r="V166" s="221" t="str">
        <f>IFERROR(_xlfn.XLOOKUP($A166,Input_Raw!$A:$A,Input_Raw!$FG:$FG),"")</f>
        <v/>
      </c>
      <c r="W166" s="222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78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22">
        <f>IFERROR(_xlfn.XLOOKUP($D166,'Modelling New'!$D:$D,'Modelling New'!O:O),"")</f>
        <v>0.84314233235469738</v>
      </c>
      <c r="AF166" s="222">
        <f>IFERROR(_xlfn.XLOOKUP($D166,'Modelling New'!$D:$D,'Modelling New'!W:W),"")</f>
        <v>0.17624016808247492</v>
      </c>
      <c r="AG166" s="222">
        <f>IFERROR(_xlfn.XLOOKUP($D166,'Modelling New'!$D:$D,'Modelling New'!AE:AE),"")</f>
        <v>0.995</v>
      </c>
      <c r="AH166" s="222">
        <f>IFERROR(_xlfn.XLOOKUP($D166,'Modelling New'!$D:$D,'Modelling New'!AF:AF),"")</f>
        <v>0.995</v>
      </c>
      <c r="AI166" s="9"/>
      <c r="AJ166" s="9"/>
      <c r="AK166" s="245"/>
      <c r="AL166" s="245"/>
      <c r="AM166" s="245"/>
      <c r="AN166" s="219"/>
      <c r="AO166" s="222"/>
      <c r="AP166" s="222"/>
      <c r="AQ166" s="222"/>
      <c r="AR166" s="223">
        <f>_xlfn.XLOOKUP(D166,'Modelling New'!$D:$D,'Modelling New'!$N:$N)</f>
        <v>130</v>
      </c>
      <c r="AS166" s="223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18">
        <f>Table13[[#This Row],[Date]]-DAY(Table13[[#This Row],[Date]])+1</f>
        <v>45901</v>
      </c>
      <c r="E167" s="9">
        <f t="shared" si="10"/>
        <v>30</v>
      </c>
      <c r="F167" s="188" t="str">
        <f>IFERROR(_xlfn.XLOOKUP($A167,Input_Raw!$A:$A,Input_Raw!$FC:$FC),"")</f>
        <v/>
      </c>
      <c r="G167" s="178" t="str">
        <f>IFERROR(_xlfn.XLOOKUP($A167,Input_Raw!$A:$A,Input_Raw!$CY:$CY),"")</f>
        <v/>
      </c>
      <c r="H167" s="178" t="str">
        <f>IFERROR(_xlfn.XLOOKUP($A167,Input_Raw!$A:$A,Input_Raw!$DA:$DA),"")</f>
        <v/>
      </c>
      <c r="I167" s="178" t="str">
        <f>IFERROR(_xlfn.XLOOKUP($A167,Input_Raw!$A:$A,Input_Raw!$CX:$CX),"")</f>
        <v/>
      </c>
      <c r="J167" s="178" t="str">
        <f>IFERROR(_xlfn.XLOOKUP($A167,Input_Raw!$A:$A,Input_Raw!$CZ:$CZ),"")</f>
        <v/>
      </c>
      <c r="K167" s="190" t="str">
        <f>IFERROR(_xlfn.XLOOKUP($A167,Input_Raw!$A:$A,Input_Raw!$DB:$DB),"")</f>
        <v/>
      </c>
      <c r="L167" s="190" t="str">
        <f>IFERROR(_xlfn.XLOOKUP($A167,Input_Raw!$A:$A,Input_Raw!$DC:$DC),"")</f>
        <v/>
      </c>
      <c r="M167" s="189" t="str">
        <f>IFERROR(_xlfn.XLOOKUP($A167,Input_Raw!$A:$A,Input_Raw!$DF:$DF),"")</f>
        <v/>
      </c>
      <c r="N167" s="189" t="str">
        <f>IFERROR(_xlfn.XLOOKUP($A167,Input_Raw!$A:$A,Input_Raw!$DG:$DG),"")</f>
        <v/>
      </c>
      <c r="O167" s="219" t="str">
        <f>IFERROR(1-(SUMIF(Plant_BD!$B:$B,$A167,Plant_BD!$AL:$AL)/($AA167+SUMIF(Plant_BD!$B:$B,$A167,Plant_BD!$AL:$AL))),"")</f>
        <v/>
      </c>
      <c r="P167" s="219"/>
      <c r="Q167" s="220" t="str">
        <f>IFERROR(1-(SUMIF(Grid_BD!$B:$B,$A167,Grid_BD!$V:$V)/($AA167+SUMIF(Grid_BD!$B:$B,$A167,Grid_BD!$V:$V))),"")</f>
        <v/>
      </c>
      <c r="R167" s="219" t="str">
        <f>IFERROR(1-(SUMIF(Grid_BD!$B:$B,$A167,Grid_BD!$V:$V)/($AA167+SUMIF(Grid_BD!$B:$B,$A167,Grid_BD!$V:$V))),"")</f>
        <v/>
      </c>
      <c r="S167" s="9"/>
      <c r="T167" s="220"/>
      <c r="U167" s="221" t="str">
        <f t="shared" si="11"/>
        <v/>
      </c>
      <c r="V167" s="221" t="str">
        <f>IFERROR(_xlfn.XLOOKUP($A167,Input_Raw!$A:$A,Input_Raw!$FG:$FG),"")</f>
        <v/>
      </c>
      <c r="W167" s="222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78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22">
        <f>IFERROR(_xlfn.XLOOKUP($D167,'Modelling New'!$D:$D,'Modelling New'!O:O),"")</f>
        <v>0.84314233235469738</v>
      </c>
      <c r="AF167" s="222">
        <f>IFERROR(_xlfn.XLOOKUP($D167,'Modelling New'!$D:$D,'Modelling New'!W:W),"")</f>
        <v>0.17624016808247492</v>
      </c>
      <c r="AG167" s="222">
        <f>IFERROR(_xlfn.XLOOKUP($D167,'Modelling New'!$D:$D,'Modelling New'!AE:AE),"")</f>
        <v>0.995</v>
      </c>
      <c r="AH167" s="222">
        <f>IFERROR(_xlfn.XLOOKUP($D167,'Modelling New'!$D:$D,'Modelling New'!AF:AF),"")</f>
        <v>0.995</v>
      </c>
      <c r="AI167" s="9"/>
      <c r="AJ167" s="9"/>
      <c r="AK167" s="245"/>
      <c r="AL167" s="245"/>
      <c r="AM167" s="245"/>
      <c r="AN167" s="219"/>
      <c r="AO167" s="222"/>
      <c r="AP167" s="222"/>
      <c r="AQ167" s="222"/>
      <c r="AR167" s="223">
        <f>_xlfn.XLOOKUP(D167,'Modelling New'!$D:$D,'Modelling New'!$N:$N)</f>
        <v>130</v>
      </c>
      <c r="AS167" s="223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18">
        <f>Table13[[#This Row],[Date]]-DAY(Table13[[#This Row],[Date]])+1</f>
        <v>45901</v>
      </c>
      <c r="E168" s="9">
        <f t="shared" ref="E168:E231" si="15">DAY(EOMONTH(A168,0))</f>
        <v>30</v>
      </c>
      <c r="F168" s="188" t="str">
        <f>IFERROR(_xlfn.XLOOKUP($A168,Input_Raw!$A:$A,Input_Raw!$FC:$FC),"")</f>
        <v/>
      </c>
      <c r="G168" s="189" t="str">
        <f>IFERROR(_xlfn.XLOOKUP($A168,Input_Raw!$A:$A,Input_Raw!$CY:$CY),"")</f>
        <v/>
      </c>
      <c r="H168" s="189" t="str">
        <f>IFERROR(_xlfn.XLOOKUP($A168,Input_Raw!$A:$A,Input_Raw!$DA:$DA),"")</f>
        <v/>
      </c>
      <c r="I168" s="189" t="str">
        <f>IFERROR(_xlfn.XLOOKUP($A168,Input_Raw!$A:$A,Input_Raw!$CX:$CX),"")</f>
        <v/>
      </c>
      <c r="J168" s="189" t="str">
        <f>IFERROR(_xlfn.XLOOKUP($A168,Input_Raw!$A:$A,Input_Raw!$CZ:$CZ),"")</f>
        <v/>
      </c>
      <c r="K168" s="190" t="str">
        <f>IFERROR(_xlfn.XLOOKUP($A168,Input_Raw!$A:$A,Input_Raw!$DB:$DB),"")</f>
        <v/>
      </c>
      <c r="L168" s="190" t="str">
        <f>IFERROR(_xlfn.XLOOKUP($A168,Input_Raw!$A:$A,Input_Raw!$DC:$DC),"")</f>
        <v/>
      </c>
      <c r="M168" s="189" t="str">
        <f>IFERROR(_xlfn.XLOOKUP($A168,Input_Raw!$A:$A,Input_Raw!$DF:$DF),"")</f>
        <v/>
      </c>
      <c r="N168" s="189" t="str">
        <f>IFERROR(_xlfn.XLOOKUP($A168,Input_Raw!$A:$A,Input_Raw!$DG:$DG),"")</f>
        <v/>
      </c>
      <c r="O168" s="219" t="str">
        <f>IFERROR(1-(SUMIF(Plant_BD!$B:$B,$A168,Plant_BD!$AL:$AL)/($AA168+SUMIF(Plant_BD!$B:$B,$A168,Plant_BD!$AL:$AL))),"")</f>
        <v/>
      </c>
      <c r="P168" s="219"/>
      <c r="Q168" s="220" t="str">
        <f>IFERROR(1-(SUMIF(Grid_BD!$B:$B,$A168,Grid_BD!$V:$V)/($AA168+SUMIF(Grid_BD!$B:$B,$A168,Grid_BD!$V:$V))),"")</f>
        <v/>
      </c>
      <c r="R168" s="219" t="str">
        <f>IFERROR(1-(SUMIF(Grid_BD!$B:$B,$A168,Grid_BD!$V:$V)/($AA168+SUMIF(Grid_BD!$B:$B,$A168,Grid_BD!$V:$V))),"")</f>
        <v/>
      </c>
      <c r="S168" s="9"/>
      <c r="T168" s="220"/>
      <c r="U168" s="221" t="str">
        <f t="shared" ref="U168:U231" si="16">IFERROR(AA168/I168/AB168/1000,"")</f>
        <v/>
      </c>
      <c r="V168" s="221" t="str">
        <f>IFERROR(_xlfn.XLOOKUP($A168,Input_Raw!$A:$A,Input_Raw!$FG:$FG),"")</f>
        <v/>
      </c>
      <c r="W168" s="222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78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22">
        <f>IFERROR(_xlfn.XLOOKUP($D168,'Modelling New'!$D:$D,'Modelling New'!O:O),"")</f>
        <v>0.84314233235469738</v>
      </c>
      <c r="AF168" s="222">
        <f>IFERROR(_xlfn.XLOOKUP($D168,'Modelling New'!$D:$D,'Modelling New'!W:W),"")</f>
        <v>0.17624016808247492</v>
      </c>
      <c r="AG168" s="222">
        <f>IFERROR(_xlfn.XLOOKUP($D168,'Modelling New'!$D:$D,'Modelling New'!AE:AE),"")</f>
        <v>0.995</v>
      </c>
      <c r="AH168" s="222">
        <f>IFERROR(_xlfn.XLOOKUP($D168,'Modelling New'!$D:$D,'Modelling New'!AF:AF),"")</f>
        <v>0.995</v>
      </c>
      <c r="AI168" s="9"/>
      <c r="AJ168" s="9"/>
      <c r="AK168" s="245"/>
      <c r="AL168" s="245"/>
      <c r="AM168" s="245"/>
      <c r="AN168" s="219"/>
      <c r="AO168" s="222"/>
      <c r="AP168" s="222"/>
      <c r="AQ168" s="222"/>
      <c r="AR168" s="223">
        <f>_xlfn.XLOOKUP(D168,'Modelling New'!$D:$D,'Modelling New'!$N:$N)</f>
        <v>130</v>
      </c>
      <c r="AS168" s="223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18">
        <f>Table13[[#This Row],[Date]]-DAY(Table13[[#This Row],[Date]])+1</f>
        <v>45901</v>
      </c>
      <c r="E169" s="9">
        <f t="shared" si="15"/>
        <v>30</v>
      </c>
      <c r="F169" s="188" t="str">
        <f>IFERROR(_xlfn.XLOOKUP($A169,Input_Raw!$A:$A,Input_Raw!$FC:$FC),"")</f>
        <v/>
      </c>
      <c r="G169" s="178" t="str">
        <f>IFERROR(_xlfn.XLOOKUP($A169,Input_Raw!$A:$A,Input_Raw!$CY:$CY),"")</f>
        <v/>
      </c>
      <c r="H169" s="178" t="str">
        <f>IFERROR(_xlfn.XLOOKUP($A169,Input_Raw!$A:$A,Input_Raw!$DA:$DA),"")</f>
        <v/>
      </c>
      <c r="I169" s="178" t="str">
        <f>IFERROR(_xlfn.XLOOKUP($A169,Input_Raw!$A:$A,Input_Raw!$CX:$CX),"")</f>
        <v/>
      </c>
      <c r="J169" s="178" t="str">
        <f>IFERROR(_xlfn.XLOOKUP($A169,Input_Raw!$A:$A,Input_Raw!$CZ:$CZ),"")</f>
        <v/>
      </c>
      <c r="K169" s="190" t="str">
        <f>IFERROR(_xlfn.XLOOKUP($A169,Input_Raw!$A:$A,Input_Raw!$DB:$DB),"")</f>
        <v/>
      </c>
      <c r="L169" s="190" t="str">
        <f>IFERROR(_xlfn.XLOOKUP($A169,Input_Raw!$A:$A,Input_Raw!$DC:$DC),"")</f>
        <v/>
      </c>
      <c r="M169" s="189" t="str">
        <f>IFERROR(_xlfn.XLOOKUP($A169,Input_Raw!$A:$A,Input_Raw!$DF:$DF),"")</f>
        <v/>
      </c>
      <c r="N169" s="189" t="str">
        <f>IFERROR(_xlfn.XLOOKUP($A169,Input_Raw!$A:$A,Input_Raw!$DG:$DG),"")</f>
        <v/>
      </c>
      <c r="O169" s="219" t="str">
        <f>IFERROR(1-(SUMIF(Plant_BD!$B:$B,$A169,Plant_BD!$AL:$AL)/($AA169+SUMIF(Plant_BD!$B:$B,$A169,Plant_BD!$AL:$AL))),"")</f>
        <v/>
      </c>
      <c r="P169" s="219"/>
      <c r="Q169" s="220" t="str">
        <f>IFERROR(1-(SUMIF(Grid_BD!$B:$B,$A169,Grid_BD!$V:$V)/($AA169+SUMIF(Grid_BD!$B:$B,$A169,Grid_BD!$V:$V))),"")</f>
        <v/>
      </c>
      <c r="R169" s="219" t="str">
        <f>IFERROR(1-(SUMIF(Grid_BD!$B:$B,$A169,Grid_BD!$V:$V)/($AA169+SUMIF(Grid_BD!$B:$B,$A169,Grid_BD!$V:$V))),"")</f>
        <v/>
      </c>
      <c r="S169" s="9"/>
      <c r="T169" s="220"/>
      <c r="U169" s="221" t="str">
        <f t="shared" si="16"/>
        <v/>
      </c>
      <c r="V169" s="221" t="str">
        <f>IFERROR(_xlfn.XLOOKUP($A169,Input_Raw!$A:$A,Input_Raw!$FG:$FG),"")</f>
        <v/>
      </c>
      <c r="W169" s="222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78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22">
        <f>IFERROR(_xlfn.XLOOKUP($D169,'Modelling New'!$D:$D,'Modelling New'!O:O),"")</f>
        <v>0.84314233235469738</v>
      </c>
      <c r="AF169" s="222">
        <f>IFERROR(_xlfn.XLOOKUP($D169,'Modelling New'!$D:$D,'Modelling New'!W:W),"")</f>
        <v>0.17624016808247492</v>
      </c>
      <c r="AG169" s="222">
        <f>IFERROR(_xlfn.XLOOKUP($D169,'Modelling New'!$D:$D,'Modelling New'!AE:AE),"")</f>
        <v>0.995</v>
      </c>
      <c r="AH169" s="222">
        <f>IFERROR(_xlfn.XLOOKUP($D169,'Modelling New'!$D:$D,'Modelling New'!AF:AF),"")</f>
        <v>0.995</v>
      </c>
      <c r="AI169" s="9"/>
      <c r="AJ169" s="9"/>
      <c r="AK169" s="245"/>
      <c r="AL169" s="245"/>
      <c r="AM169" s="245"/>
      <c r="AN169" s="219"/>
      <c r="AO169" s="222"/>
      <c r="AP169" s="222"/>
      <c r="AQ169" s="222"/>
      <c r="AR169" s="223">
        <f>_xlfn.XLOOKUP(D169,'Modelling New'!$D:$D,'Modelling New'!$N:$N)</f>
        <v>130</v>
      </c>
      <c r="AS169" s="223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18">
        <f>Table13[[#This Row],[Date]]-DAY(Table13[[#This Row],[Date]])+1</f>
        <v>45901</v>
      </c>
      <c r="E170" s="9">
        <f t="shared" si="15"/>
        <v>30</v>
      </c>
      <c r="F170" s="188" t="str">
        <f>IFERROR(_xlfn.XLOOKUP($A170,Input_Raw!$A:$A,Input_Raw!$FC:$FC),"")</f>
        <v/>
      </c>
      <c r="G170" s="189" t="str">
        <f>IFERROR(_xlfn.XLOOKUP($A170,Input_Raw!$A:$A,Input_Raw!$CY:$CY),"")</f>
        <v/>
      </c>
      <c r="H170" s="189" t="str">
        <f>IFERROR(_xlfn.XLOOKUP($A170,Input_Raw!$A:$A,Input_Raw!$DA:$DA),"")</f>
        <v/>
      </c>
      <c r="I170" s="189" t="str">
        <f>IFERROR(_xlfn.XLOOKUP($A170,Input_Raw!$A:$A,Input_Raw!$CX:$CX),"")</f>
        <v/>
      </c>
      <c r="J170" s="189" t="str">
        <f>IFERROR(_xlfn.XLOOKUP($A170,Input_Raw!$A:$A,Input_Raw!$CZ:$CZ),"")</f>
        <v/>
      </c>
      <c r="K170" s="190" t="str">
        <f>IFERROR(_xlfn.XLOOKUP($A170,Input_Raw!$A:$A,Input_Raw!$DB:$DB),"")</f>
        <v/>
      </c>
      <c r="L170" s="190" t="str">
        <f>IFERROR(_xlfn.XLOOKUP($A170,Input_Raw!$A:$A,Input_Raw!$DC:$DC),"")</f>
        <v/>
      </c>
      <c r="M170" s="189" t="str">
        <f>IFERROR(_xlfn.XLOOKUP($A170,Input_Raw!$A:$A,Input_Raw!$DF:$DF),"")</f>
        <v/>
      </c>
      <c r="N170" s="189" t="str">
        <f>IFERROR(_xlfn.XLOOKUP($A170,Input_Raw!$A:$A,Input_Raw!$DG:$DG),"")</f>
        <v/>
      </c>
      <c r="O170" s="219" t="str">
        <f>IFERROR(1-(SUMIF(Plant_BD!$B:$B,$A170,Plant_BD!$AL:$AL)/($AA170+SUMIF(Plant_BD!$B:$B,$A170,Plant_BD!$AL:$AL))),"")</f>
        <v/>
      </c>
      <c r="P170" s="219"/>
      <c r="Q170" s="220" t="str">
        <f>IFERROR(1-(SUMIF(Grid_BD!$B:$B,$A170,Grid_BD!$V:$V)/($AA170+SUMIF(Grid_BD!$B:$B,$A170,Grid_BD!$V:$V))),"")</f>
        <v/>
      </c>
      <c r="R170" s="219" t="str">
        <f>IFERROR(1-(SUMIF(Grid_BD!$B:$B,$A170,Grid_BD!$V:$V)/($AA170+SUMIF(Grid_BD!$B:$B,$A170,Grid_BD!$V:$V))),"")</f>
        <v/>
      </c>
      <c r="S170" s="9"/>
      <c r="T170" s="220"/>
      <c r="U170" s="221" t="str">
        <f t="shared" si="16"/>
        <v/>
      </c>
      <c r="V170" s="221" t="str">
        <f>IFERROR(_xlfn.XLOOKUP($A170,Input_Raw!$A:$A,Input_Raw!$FG:$FG),"")</f>
        <v/>
      </c>
      <c r="W170" s="222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78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22">
        <f>IFERROR(_xlfn.XLOOKUP($D170,'Modelling New'!$D:$D,'Modelling New'!O:O),"")</f>
        <v>0.84314233235469738</v>
      </c>
      <c r="AF170" s="222">
        <f>IFERROR(_xlfn.XLOOKUP($D170,'Modelling New'!$D:$D,'Modelling New'!W:W),"")</f>
        <v>0.17624016808247492</v>
      </c>
      <c r="AG170" s="222">
        <f>IFERROR(_xlfn.XLOOKUP($D170,'Modelling New'!$D:$D,'Modelling New'!AE:AE),"")</f>
        <v>0.995</v>
      </c>
      <c r="AH170" s="222">
        <f>IFERROR(_xlfn.XLOOKUP($D170,'Modelling New'!$D:$D,'Modelling New'!AF:AF),"")</f>
        <v>0.995</v>
      </c>
      <c r="AI170" s="9"/>
      <c r="AJ170" s="9"/>
      <c r="AK170" s="245"/>
      <c r="AL170" s="245"/>
      <c r="AM170" s="245"/>
      <c r="AN170" s="219"/>
      <c r="AO170" s="222"/>
      <c r="AP170" s="222"/>
      <c r="AQ170" s="222"/>
      <c r="AR170" s="223">
        <f>_xlfn.XLOOKUP(D170,'Modelling New'!$D:$D,'Modelling New'!$N:$N)</f>
        <v>130</v>
      </c>
      <c r="AS170" s="223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18">
        <f>Table13[[#This Row],[Date]]-DAY(Table13[[#This Row],[Date]])+1</f>
        <v>45901</v>
      </c>
      <c r="E171" s="9">
        <f t="shared" si="15"/>
        <v>30</v>
      </c>
      <c r="F171" s="188" t="str">
        <f>IFERROR(_xlfn.XLOOKUP($A171,Input_Raw!$A:$A,Input_Raw!$FC:$FC),"")</f>
        <v/>
      </c>
      <c r="G171" s="178" t="str">
        <f>IFERROR(_xlfn.XLOOKUP($A171,Input_Raw!$A:$A,Input_Raw!$CY:$CY),"")</f>
        <v/>
      </c>
      <c r="H171" s="178" t="str">
        <f>IFERROR(_xlfn.XLOOKUP($A171,Input_Raw!$A:$A,Input_Raw!$DA:$DA),"")</f>
        <v/>
      </c>
      <c r="I171" s="178" t="str">
        <f>IFERROR(_xlfn.XLOOKUP($A171,Input_Raw!$A:$A,Input_Raw!$CX:$CX),"")</f>
        <v/>
      </c>
      <c r="J171" s="178" t="str">
        <f>IFERROR(_xlfn.XLOOKUP($A171,Input_Raw!$A:$A,Input_Raw!$CZ:$CZ),"")</f>
        <v/>
      </c>
      <c r="K171" s="190" t="str">
        <f>IFERROR(_xlfn.XLOOKUP($A171,Input_Raw!$A:$A,Input_Raw!$DB:$DB),"")</f>
        <v/>
      </c>
      <c r="L171" s="190" t="str">
        <f>IFERROR(_xlfn.XLOOKUP($A171,Input_Raw!$A:$A,Input_Raw!$DC:$DC),"")</f>
        <v/>
      </c>
      <c r="M171" s="189" t="str">
        <f>IFERROR(_xlfn.XLOOKUP($A171,Input_Raw!$A:$A,Input_Raw!$DF:$DF),"")</f>
        <v/>
      </c>
      <c r="N171" s="189" t="str">
        <f>IFERROR(_xlfn.XLOOKUP($A171,Input_Raw!$A:$A,Input_Raw!$DG:$DG),"")</f>
        <v/>
      </c>
      <c r="O171" s="219" t="str">
        <f>IFERROR(1-(SUMIF(Plant_BD!$B:$B,$A171,Plant_BD!$AL:$AL)/($AA171+SUMIF(Plant_BD!$B:$B,$A171,Plant_BD!$AL:$AL))),"")</f>
        <v/>
      </c>
      <c r="P171" s="219"/>
      <c r="Q171" s="220" t="str">
        <f>IFERROR(1-(SUMIF(Grid_BD!$B:$B,$A171,Grid_BD!$V:$V)/($AA171+SUMIF(Grid_BD!$B:$B,$A171,Grid_BD!$V:$V))),"")</f>
        <v/>
      </c>
      <c r="R171" s="219" t="str">
        <f>IFERROR(1-(SUMIF(Grid_BD!$B:$B,$A171,Grid_BD!$V:$V)/($AA171+SUMIF(Grid_BD!$B:$B,$A171,Grid_BD!$V:$V))),"")</f>
        <v/>
      </c>
      <c r="S171" s="9"/>
      <c r="T171" s="220"/>
      <c r="U171" s="221" t="str">
        <f t="shared" si="16"/>
        <v/>
      </c>
      <c r="V171" s="221" t="str">
        <f>IFERROR(_xlfn.XLOOKUP($A171,Input_Raw!$A:$A,Input_Raw!$FG:$FG),"")</f>
        <v/>
      </c>
      <c r="W171" s="222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78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22">
        <f>IFERROR(_xlfn.XLOOKUP($D171,'Modelling New'!$D:$D,'Modelling New'!O:O),"")</f>
        <v>0.84314233235469738</v>
      </c>
      <c r="AF171" s="222">
        <f>IFERROR(_xlfn.XLOOKUP($D171,'Modelling New'!$D:$D,'Modelling New'!W:W),"")</f>
        <v>0.17624016808247492</v>
      </c>
      <c r="AG171" s="222">
        <f>IFERROR(_xlfn.XLOOKUP($D171,'Modelling New'!$D:$D,'Modelling New'!AE:AE),"")</f>
        <v>0.995</v>
      </c>
      <c r="AH171" s="222">
        <f>IFERROR(_xlfn.XLOOKUP($D171,'Modelling New'!$D:$D,'Modelling New'!AF:AF),"")</f>
        <v>0.995</v>
      </c>
      <c r="AI171" s="9"/>
      <c r="AJ171" s="9"/>
      <c r="AK171" s="245"/>
      <c r="AL171" s="245"/>
      <c r="AM171" s="245"/>
      <c r="AN171" s="219"/>
      <c r="AO171" s="222"/>
      <c r="AP171" s="222"/>
      <c r="AQ171" s="222"/>
      <c r="AR171" s="223">
        <f>_xlfn.XLOOKUP(D171,'Modelling New'!$D:$D,'Modelling New'!$N:$N)</f>
        <v>130</v>
      </c>
      <c r="AS171" s="223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18">
        <f>Table13[[#This Row],[Date]]-DAY(Table13[[#This Row],[Date]])+1</f>
        <v>45901</v>
      </c>
      <c r="E172" s="9">
        <f t="shared" si="15"/>
        <v>30</v>
      </c>
      <c r="F172" s="188" t="str">
        <f>IFERROR(_xlfn.XLOOKUP($A172,Input_Raw!$A:$A,Input_Raw!$FC:$FC),"")</f>
        <v/>
      </c>
      <c r="G172" s="189" t="str">
        <f>IFERROR(_xlfn.XLOOKUP($A172,Input_Raw!$A:$A,Input_Raw!$CY:$CY),"")</f>
        <v/>
      </c>
      <c r="H172" s="189" t="str">
        <f>IFERROR(_xlfn.XLOOKUP($A172,Input_Raw!$A:$A,Input_Raw!$DA:$DA),"")</f>
        <v/>
      </c>
      <c r="I172" s="189" t="str">
        <f>IFERROR(_xlfn.XLOOKUP($A172,Input_Raw!$A:$A,Input_Raw!$CX:$CX),"")</f>
        <v/>
      </c>
      <c r="J172" s="189" t="str">
        <f>IFERROR(_xlfn.XLOOKUP($A172,Input_Raw!$A:$A,Input_Raw!$CZ:$CZ),"")</f>
        <v/>
      </c>
      <c r="K172" s="190" t="str">
        <f>IFERROR(_xlfn.XLOOKUP($A172,Input_Raw!$A:$A,Input_Raw!$DB:$DB),"")</f>
        <v/>
      </c>
      <c r="L172" s="190" t="str">
        <f>IFERROR(_xlfn.XLOOKUP($A172,Input_Raw!$A:$A,Input_Raw!$DC:$DC),"")</f>
        <v/>
      </c>
      <c r="M172" s="189" t="str">
        <f>IFERROR(_xlfn.XLOOKUP($A172,Input_Raw!$A:$A,Input_Raw!$DF:$DF),"")</f>
        <v/>
      </c>
      <c r="N172" s="189" t="str">
        <f>IFERROR(_xlfn.XLOOKUP($A172,Input_Raw!$A:$A,Input_Raw!$DG:$DG),"")</f>
        <v/>
      </c>
      <c r="O172" s="219" t="str">
        <f>IFERROR(1-(SUMIF(Plant_BD!$B:$B,$A172,Plant_BD!$AL:$AL)/($AA172+SUMIF(Plant_BD!$B:$B,$A172,Plant_BD!$AL:$AL))),"")</f>
        <v/>
      </c>
      <c r="P172" s="219"/>
      <c r="Q172" s="220" t="str">
        <f>IFERROR(1-(SUMIF(Grid_BD!$B:$B,$A172,Grid_BD!$V:$V)/($AA172+SUMIF(Grid_BD!$B:$B,$A172,Grid_BD!$V:$V))),"")</f>
        <v/>
      </c>
      <c r="R172" s="219" t="str">
        <f>IFERROR(1-(SUMIF(Grid_BD!$B:$B,$A172,Grid_BD!$V:$V)/($AA172+SUMIF(Grid_BD!$B:$B,$A172,Grid_BD!$V:$V))),"")</f>
        <v/>
      </c>
      <c r="S172" s="9"/>
      <c r="T172" s="220"/>
      <c r="U172" s="221" t="str">
        <f t="shared" si="16"/>
        <v/>
      </c>
      <c r="V172" s="221" t="str">
        <f>IFERROR(_xlfn.XLOOKUP($A172,Input_Raw!$A:$A,Input_Raw!$FG:$FG),"")</f>
        <v/>
      </c>
      <c r="W172" s="222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78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22">
        <f>IFERROR(_xlfn.XLOOKUP($D172,'Modelling New'!$D:$D,'Modelling New'!O:O),"")</f>
        <v>0.84314233235469738</v>
      </c>
      <c r="AF172" s="222">
        <f>IFERROR(_xlfn.XLOOKUP($D172,'Modelling New'!$D:$D,'Modelling New'!W:W),"")</f>
        <v>0.17624016808247492</v>
      </c>
      <c r="AG172" s="222">
        <f>IFERROR(_xlfn.XLOOKUP($D172,'Modelling New'!$D:$D,'Modelling New'!AE:AE),"")</f>
        <v>0.995</v>
      </c>
      <c r="AH172" s="222">
        <f>IFERROR(_xlfn.XLOOKUP($D172,'Modelling New'!$D:$D,'Modelling New'!AF:AF),"")</f>
        <v>0.995</v>
      </c>
      <c r="AI172" s="9"/>
      <c r="AJ172" s="9"/>
      <c r="AK172" s="245"/>
      <c r="AL172" s="245"/>
      <c r="AM172" s="245"/>
      <c r="AN172" s="219"/>
      <c r="AO172" s="222"/>
      <c r="AP172" s="222"/>
      <c r="AQ172" s="222"/>
      <c r="AR172" s="223">
        <f>_xlfn.XLOOKUP(D172,'Modelling New'!$D:$D,'Modelling New'!$N:$N)</f>
        <v>130</v>
      </c>
      <c r="AS172" s="223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18">
        <f>Table13[[#This Row],[Date]]-DAY(Table13[[#This Row],[Date]])+1</f>
        <v>45901</v>
      </c>
      <c r="E173" s="9">
        <f t="shared" si="15"/>
        <v>30</v>
      </c>
      <c r="F173" s="188" t="str">
        <f>IFERROR(_xlfn.XLOOKUP($A173,Input_Raw!$A:$A,Input_Raw!$FC:$FC),"")</f>
        <v/>
      </c>
      <c r="G173" s="178" t="str">
        <f>IFERROR(_xlfn.XLOOKUP($A173,Input_Raw!$A:$A,Input_Raw!$CY:$CY),"")</f>
        <v/>
      </c>
      <c r="H173" s="178" t="str">
        <f>IFERROR(_xlfn.XLOOKUP($A173,Input_Raw!$A:$A,Input_Raw!$DA:$DA),"")</f>
        <v/>
      </c>
      <c r="I173" s="178" t="str">
        <f>IFERROR(_xlfn.XLOOKUP($A173,Input_Raw!$A:$A,Input_Raw!$CX:$CX),"")</f>
        <v/>
      </c>
      <c r="J173" s="178" t="str">
        <f>IFERROR(_xlfn.XLOOKUP($A173,Input_Raw!$A:$A,Input_Raw!$CZ:$CZ),"")</f>
        <v/>
      </c>
      <c r="K173" s="190" t="str">
        <f>IFERROR(_xlfn.XLOOKUP($A173,Input_Raw!$A:$A,Input_Raw!$DB:$DB),"")</f>
        <v/>
      </c>
      <c r="L173" s="190" t="str">
        <f>IFERROR(_xlfn.XLOOKUP($A173,Input_Raw!$A:$A,Input_Raw!$DC:$DC),"")</f>
        <v/>
      </c>
      <c r="M173" s="189" t="str">
        <f>IFERROR(_xlfn.XLOOKUP($A173,Input_Raw!$A:$A,Input_Raw!$DF:$DF),"")</f>
        <v/>
      </c>
      <c r="N173" s="189" t="str">
        <f>IFERROR(_xlfn.XLOOKUP($A173,Input_Raw!$A:$A,Input_Raw!$DG:$DG),"")</f>
        <v/>
      </c>
      <c r="O173" s="219" t="str">
        <f>IFERROR(1-(SUMIF(Plant_BD!$B:$B,$A173,Plant_BD!$AL:$AL)/($AA173+SUMIF(Plant_BD!$B:$B,$A173,Plant_BD!$AL:$AL))),"")</f>
        <v/>
      </c>
      <c r="P173" s="219"/>
      <c r="Q173" s="220" t="str">
        <f>IFERROR(1-(SUMIF(Grid_BD!$B:$B,$A173,Grid_BD!$V:$V)/($AA173+SUMIF(Grid_BD!$B:$B,$A173,Grid_BD!$V:$V))),"")</f>
        <v/>
      </c>
      <c r="R173" s="219" t="str">
        <f>IFERROR(1-(SUMIF(Grid_BD!$B:$B,$A173,Grid_BD!$V:$V)/($AA173+SUMIF(Grid_BD!$B:$B,$A173,Grid_BD!$V:$V))),"")</f>
        <v/>
      </c>
      <c r="S173" s="9"/>
      <c r="T173" s="220"/>
      <c r="U173" s="221" t="str">
        <f t="shared" si="16"/>
        <v/>
      </c>
      <c r="V173" s="221" t="str">
        <f>IFERROR(_xlfn.XLOOKUP($A173,Input_Raw!$A:$A,Input_Raw!$FG:$FG),"")</f>
        <v/>
      </c>
      <c r="W173" s="222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78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22">
        <f>IFERROR(_xlfn.XLOOKUP($D173,'Modelling New'!$D:$D,'Modelling New'!O:O),"")</f>
        <v>0.84314233235469738</v>
      </c>
      <c r="AF173" s="222">
        <f>IFERROR(_xlfn.XLOOKUP($D173,'Modelling New'!$D:$D,'Modelling New'!W:W),"")</f>
        <v>0.17624016808247492</v>
      </c>
      <c r="AG173" s="222">
        <f>IFERROR(_xlfn.XLOOKUP($D173,'Modelling New'!$D:$D,'Modelling New'!AE:AE),"")</f>
        <v>0.995</v>
      </c>
      <c r="AH173" s="222">
        <f>IFERROR(_xlfn.XLOOKUP($D173,'Modelling New'!$D:$D,'Modelling New'!AF:AF),"")</f>
        <v>0.995</v>
      </c>
      <c r="AI173" s="9"/>
      <c r="AJ173" s="9"/>
      <c r="AK173" s="245"/>
      <c r="AL173" s="245"/>
      <c r="AM173" s="245"/>
      <c r="AN173" s="219"/>
      <c r="AO173" s="222"/>
      <c r="AP173" s="222"/>
      <c r="AQ173" s="222"/>
      <c r="AR173" s="223">
        <f>_xlfn.XLOOKUP(D173,'Modelling New'!$D:$D,'Modelling New'!$N:$N)</f>
        <v>130</v>
      </c>
      <c r="AS173" s="223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18">
        <f>Table13[[#This Row],[Date]]-DAY(Table13[[#This Row],[Date]])+1</f>
        <v>45901</v>
      </c>
      <c r="E174" s="9">
        <f t="shared" si="15"/>
        <v>30</v>
      </c>
      <c r="F174" s="188" t="str">
        <f>IFERROR(_xlfn.XLOOKUP($A174,Input_Raw!$A:$A,Input_Raw!$FC:$FC),"")</f>
        <v/>
      </c>
      <c r="G174" s="189" t="str">
        <f>IFERROR(_xlfn.XLOOKUP($A174,Input_Raw!$A:$A,Input_Raw!$CY:$CY),"")</f>
        <v/>
      </c>
      <c r="H174" s="189" t="str">
        <f>IFERROR(_xlfn.XLOOKUP($A174,Input_Raw!$A:$A,Input_Raw!$DA:$DA),"")</f>
        <v/>
      </c>
      <c r="I174" s="189" t="str">
        <f>IFERROR(_xlfn.XLOOKUP($A174,Input_Raw!$A:$A,Input_Raw!$CX:$CX),"")</f>
        <v/>
      </c>
      <c r="J174" s="189" t="str">
        <f>IFERROR(_xlfn.XLOOKUP($A174,Input_Raw!$A:$A,Input_Raw!$CZ:$CZ),"")</f>
        <v/>
      </c>
      <c r="K174" s="190" t="str">
        <f>IFERROR(_xlfn.XLOOKUP($A174,Input_Raw!$A:$A,Input_Raw!$DB:$DB),"")</f>
        <v/>
      </c>
      <c r="L174" s="190" t="str">
        <f>IFERROR(_xlfn.XLOOKUP($A174,Input_Raw!$A:$A,Input_Raw!$DC:$DC),"")</f>
        <v/>
      </c>
      <c r="M174" s="189" t="str">
        <f>IFERROR(_xlfn.XLOOKUP($A174,Input_Raw!$A:$A,Input_Raw!$DF:$DF),"")</f>
        <v/>
      </c>
      <c r="N174" s="189" t="str">
        <f>IFERROR(_xlfn.XLOOKUP($A174,Input_Raw!$A:$A,Input_Raw!$DG:$DG),"")</f>
        <v/>
      </c>
      <c r="O174" s="219" t="str">
        <f>IFERROR(1-(SUMIF(Plant_BD!$B:$B,$A174,Plant_BD!$AL:$AL)/($AA174+SUMIF(Plant_BD!$B:$B,$A174,Plant_BD!$AL:$AL))),"")</f>
        <v/>
      </c>
      <c r="P174" s="219"/>
      <c r="Q174" s="220" t="str">
        <f>IFERROR(1-(SUMIF(Grid_BD!$B:$B,$A174,Grid_BD!$V:$V)/($AA174+SUMIF(Grid_BD!$B:$B,$A174,Grid_BD!$V:$V))),"")</f>
        <v/>
      </c>
      <c r="R174" s="219" t="str">
        <f>IFERROR(1-(SUMIF(Grid_BD!$B:$B,$A174,Grid_BD!$V:$V)/($AA174+SUMIF(Grid_BD!$B:$B,$A174,Grid_BD!$V:$V))),"")</f>
        <v/>
      </c>
      <c r="S174" s="9"/>
      <c r="T174" s="220"/>
      <c r="U174" s="221" t="str">
        <f t="shared" si="16"/>
        <v/>
      </c>
      <c r="V174" s="221" t="str">
        <f>IFERROR(_xlfn.XLOOKUP($A174,Input_Raw!$A:$A,Input_Raw!$FG:$FG),"")</f>
        <v/>
      </c>
      <c r="W174" s="222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78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22">
        <f>IFERROR(_xlfn.XLOOKUP($D174,'Modelling New'!$D:$D,'Modelling New'!O:O),"")</f>
        <v>0.84314233235469738</v>
      </c>
      <c r="AF174" s="222">
        <f>IFERROR(_xlfn.XLOOKUP($D174,'Modelling New'!$D:$D,'Modelling New'!W:W),"")</f>
        <v>0.17624016808247492</v>
      </c>
      <c r="AG174" s="222">
        <f>IFERROR(_xlfn.XLOOKUP($D174,'Modelling New'!$D:$D,'Modelling New'!AE:AE),"")</f>
        <v>0.995</v>
      </c>
      <c r="AH174" s="222">
        <f>IFERROR(_xlfn.XLOOKUP($D174,'Modelling New'!$D:$D,'Modelling New'!AF:AF),"")</f>
        <v>0.995</v>
      </c>
      <c r="AI174" s="9"/>
      <c r="AJ174" s="9"/>
      <c r="AK174" s="245"/>
      <c r="AL174" s="245"/>
      <c r="AM174" s="245"/>
      <c r="AN174" s="219"/>
      <c r="AO174" s="222"/>
      <c r="AP174" s="222"/>
      <c r="AQ174" s="222"/>
      <c r="AR174" s="223">
        <f>_xlfn.XLOOKUP(D174,'Modelling New'!$D:$D,'Modelling New'!$N:$N)</f>
        <v>130</v>
      </c>
      <c r="AS174" s="223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18">
        <f>Table13[[#This Row],[Date]]-DAY(Table13[[#This Row],[Date]])+1</f>
        <v>45901</v>
      </c>
      <c r="E175" s="9">
        <f t="shared" si="15"/>
        <v>30</v>
      </c>
      <c r="F175" s="188" t="str">
        <f>IFERROR(_xlfn.XLOOKUP($A175,Input_Raw!$A:$A,Input_Raw!$FC:$FC),"")</f>
        <v/>
      </c>
      <c r="G175" s="178" t="str">
        <f>IFERROR(_xlfn.XLOOKUP($A175,Input_Raw!$A:$A,Input_Raw!$CY:$CY),"")</f>
        <v/>
      </c>
      <c r="H175" s="178" t="str">
        <f>IFERROR(_xlfn.XLOOKUP($A175,Input_Raw!$A:$A,Input_Raw!$DA:$DA),"")</f>
        <v/>
      </c>
      <c r="I175" s="178" t="str">
        <f>IFERROR(_xlfn.XLOOKUP($A175,Input_Raw!$A:$A,Input_Raw!$CX:$CX),"")</f>
        <v/>
      </c>
      <c r="J175" s="178" t="str">
        <f>IFERROR(_xlfn.XLOOKUP($A175,Input_Raw!$A:$A,Input_Raw!$CZ:$CZ),"")</f>
        <v/>
      </c>
      <c r="K175" s="190" t="str">
        <f>IFERROR(_xlfn.XLOOKUP($A175,Input_Raw!$A:$A,Input_Raw!$DB:$DB),"")</f>
        <v/>
      </c>
      <c r="L175" s="190" t="str">
        <f>IFERROR(_xlfn.XLOOKUP($A175,Input_Raw!$A:$A,Input_Raw!$DC:$DC),"")</f>
        <v/>
      </c>
      <c r="M175" s="189" t="str">
        <f>IFERROR(_xlfn.XLOOKUP($A175,Input_Raw!$A:$A,Input_Raw!$DF:$DF),"")</f>
        <v/>
      </c>
      <c r="N175" s="189" t="str">
        <f>IFERROR(_xlfn.XLOOKUP($A175,Input_Raw!$A:$A,Input_Raw!$DG:$DG),"")</f>
        <v/>
      </c>
      <c r="O175" s="219" t="str">
        <f>IFERROR(1-(SUMIF(Plant_BD!$B:$B,$A175,Plant_BD!$AL:$AL)/($AA175+SUMIF(Plant_BD!$B:$B,$A175,Plant_BD!$AL:$AL))),"")</f>
        <v/>
      </c>
      <c r="P175" s="219"/>
      <c r="Q175" s="220" t="str">
        <f>IFERROR(1-(SUMIF(Grid_BD!$B:$B,$A175,Grid_BD!$V:$V)/($AA175+SUMIF(Grid_BD!$B:$B,$A175,Grid_BD!$V:$V))),"")</f>
        <v/>
      </c>
      <c r="R175" s="219" t="str">
        <f>IFERROR(1-(SUMIF(Grid_BD!$B:$B,$A175,Grid_BD!$V:$V)/($AA175+SUMIF(Grid_BD!$B:$B,$A175,Grid_BD!$V:$V))),"")</f>
        <v/>
      </c>
      <c r="S175" s="9"/>
      <c r="T175" s="220"/>
      <c r="U175" s="221" t="str">
        <f t="shared" si="16"/>
        <v/>
      </c>
      <c r="V175" s="221" t="str">
        <f>IFERROR(_xlfn.XLOOKUP($A175,Input_Raw!$A:$A,Input_Raw!$FG:$FG),"")</f>
        <v/>
      </c>
      <c r="W175" s="222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78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22">
        <f>IFERROR(_xlfn.XLOOKUP($D175,'Modelling New'!$D:$D,'Modelling New'!O:O),"")</f>
        <v>0.84314233235469738</v>
      </c>
      <c r="AF175" s="222">
        <f>IFERROR(_xlfn.XLOOKUP($D175,'Modelling New'!$D:$D,'Modelling New'!W:W),"")</f>
        <v>0.17624016808247492</v>
      </c>
      <c r="AG175" s="222">
        <f>IFERROR(_xlfn.XLOOKUP($D175,'Modelling New'!$D:$D,'Modelling New'!AE:AE),"")</f>
        <v>0.995</v>
      </c>
      <c r="AH175" s="222">
        <f>IFERROR(_xlfn.XLOOKUP($D175,'Modelling New'!$D:$D,'Modelling New'!AF:AF),"")</f>
        <v>0.995</v>
      </c>
      <c r="AI175" s="9"/>
      <c r="AJ175" s="9"/>
      <c r="AK175" s="245"/>
      <c r="AL175" s="245"/>
      <c r="AM175" s="245"/>
      <c r="AN175" s="219"/>
      <c r="AO175" s="222"/>
      <c r="AP175" s="222"/>
      <c r="AQ175" s="222"/>
      <c r="AR175" s="223">
        <f>_xlfn.XLOOKUP(D175,'Modelling New'!$D:$D,'Modelling New'!$N:$N)</f>
        <v>130</v>
      </c>
      <c r="AS175" s="223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18">
        <f>Table13[[#This Row],[Date]]-DAY(Table13[[#This Row],[Date]])+1</f>
        <v>45901</v>
      </c>
      <c r="E176" s="9">
        <f t="shared" si="15"/>
        <v>30</v>
      </c>
      <c r="F176" s="188" t="str">
        <f>IFERROR(_xlfn.XLOOKUP($A176,Input_Raw!$A:$A,Input_Raw!$FC:$FC),"")</f>
        <v/>
      </c>
      <c r="G176" s="189" t="str">
        <f>IFERROR(_xlfn.XLOOKUP($A176,Input_Raw!$A:$A,Input_Raw!$CY:$CY),"")</f>
        <v/>
      </c>
      <c r="H176" s="189" t="str">
        <f>IFERROR(_xlfn.XLOOKUP($A176,Input_Raw!$A:$A,Input_Raw!$DA:$DA),"")</f>
        <v/>
      </c>
      <c r="I176" s="189" t="str">
        <f>IFERROR(_xlfn.XLOOKUP($A176,Input_Raw!$A:$A,Input_Raw!$CX:$CX),"")</f>
        <v/>
      </c>
      <c r="J176" s="189" t="str">
        <f>IFERROR(_xlfn.XLOOKUP($A176,Input_Raw!$A:$A,Input_Raw!$CZ:$CZ),"")</f>
        <v/>
      </c>
      <c r="K176" s="190" t="str">
        <f>IFERROR(_xlfn.XLOOKUP($A176,Input_Raw!$A:$A,Input_Raw!$DB:$DB),"")</f>
        <v/>
      </c>
      <c r="L176" s="190" t="str">
        <f>IFERROR(_xlfn.XLOOKUP($A176,Input_Raw!$A:$A,Input_Raw!$DC:$DC),"")</f>
        <v/>
      </c>
      <c r="M176" s="189" t="str">
        <f>IFERROR(_xlfn.XLOOKUP($A176,Input_Raw!$A:$A,Input_Raw!$DF:$DF),"")</f>
        <v/>
      </c>
      <c r="N176" s="189" t="str">
        <f>IFERROR(_xlfn.XLOOKUP($A176,Input_Raw!$A:$A,Input_Raw!$DG:$DG),"")</f>
        <v/>
      </c>
      <c r="O176" s="219" t="str">
        <f>IFERROR(1-(SUMIF(Plant_BD!$B:$B,$A176,Plant_BD!$AL:$AL)/($AA176+SUMIF(Plant_BD!$B:$B,$A176,Plant_BD!$AL:$AL))),"")</f>
        <v/>
      </c>
      <c r="P176" s="219"/>
      <c r="Q176" s="220" t="str">
        <f>IFERROR(1-(SUMIF(Grid_BD!$B:$B,$A176,Grid_BD!$V:$V)/($AA176+SUMIF(Grid_BD!$B:$B,$A176,Grid_BD!$V:$V))),"")</f>
        <v/>
      </c>
      <c r="R176" s="219" t="str">
        <f>IFERROR(1-(SUMIF(Grid_BD!$B:$B,$A176,Grid_BD!$V:$V)/($AA176+SUMIF(Grid_BD!$B:$B,$A176,Grid_BD!$V:$V))),"")</f>
        <v/>
      </c>
      <c r="S176" s="9"/>
      <c r="T176" s="220"/>
      <c r="U176" s="221" t="str">
        <f t="shared" si="16"/>
        <v/>
      </c>
      <c r="V176" s="221" t="str">
        <f>IFERROR(_xlfn.XLOOKUP($A176,Input_Raw!$A:$A,Input_Raw!$FG:$FG),"")</f>
        <v/>
      </c>
      <c r="W176" s="222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78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22">
        <f>IFERROR(_xlfn.XLOOKUP($D176,'Modelling New'!$D:$D,'Modelling New'!O:O),"")</f>
        <v>0.84314233235469738</v>
      </c>
      <c r="AF176" s="222">
        <f>IFERROR(_xlfn.XLOOKUP($D176,'Modelling New'!$D:$D,'Modelling New'!W:W),"")</f>
        <v>0.17624016808247492</v>
      </c>
      <c r="AG176" s="222">
        <f>IFERROR(_xlfn.XLOOKUP($D176,'Modelling New'!$D:$D,'Modelling New'!AE:AE),"")</f>
        <v>0.995</v>
      </c>
      <c r="AH176" s="222">
        <f>IFERROR(_xlfn.XLOOKUP($D176,'Modelling New'!$D:$D,'Modelling New'!AF:AF),"")</f>
        <v>0.995</v>
      </c>
      <c r="AI176" s="9"/>
      <c r="AJ176" s="9"/>
      <c r="AK176" s="245"/>
      <c r="AL176" s="245"/>
      <c r="AM176" s="245"/>
      <c r="AN176" s="219"/>
      <c r="AO176" s="222"/>
      <c r="AP176" s="222"/>
      <c r="AQ176" s="222"/>
      <c r="AR176" s="223">
        <f>_xlfn.XLOOKUP(D176,'Modelling New'!$D:$D,'Modelling New'!$N:$N)</f>
        <v>130</v>
      </c>
      <c r="AS176" s="223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18">
        <f>Table13[[#This Row],[Date]]-DAY(Table13[[#This Row],[Date]])+1</f>
        <v>45901</v>
      </c>
      <c r="E177" s="9">
        <f t="shared" si="15"/>
        <v>30</v>
      </c>
      <c r="F177" s="188" t="str">
        <f>IFERROR(_xlfn.XLOOKUP($A177,Input_Raw!$A:$A,Input_Raw!$FC:$FC),"")</f>
        <v/>
      </c>
      <c r="G177" s="178" t="str">
        <f>IFERROR(_xlfn.XLOOKUP($A177,Input_Raw!$A:$A,Input_Raw!$CY:$CY),"")</f>
        <v/>
      </c>
      <c r="H177" s="178" t="str">
        <f>IFERROR(_xlfn.XLOOKUP($A177,Input_Raw!$A:$A,Input_Raw!$DA:$DA),"")</f>
        <v/>
      </c>
      <c r="I177" s="178" t="str">
        <f>IFERROR(_xlfn.XLOOKUP($A177,Input_Raw!$A:$A,Input_Raw!$CX:$CX),"")</f>
        <v/>
      </c>
      <c r="J177" s="178" t="str">
        <f>IFERROR(_xlfn.XLOOKUP($A177,Input_Raw!$A:$A,Input_Raw!$CZ:$CZ),"")</f>
        <v/>
      </c>
      <c r="K177" s="190" t="str">
        <f>IFERROR(_xlfn.XLOOKUP($A177,Input_Raw!$A:$A,Input_Raw!$DB:$DB),"")</f>
        <v/>
      </c>
      <c r="L177" s="190" t="str">
        <f>IFERROR(_xlfn.XLOOKUP($A177,Input_Raw!$A:$A,Input_Raw!$DC:$DC),"")</f>
        <v/>
      </c>
      <c r="M177" s="189" t="str">
        <f>IFERROR(_xlfn.XLOOKUP($A177,Input_Raw!$A:$A,Input_Raw!$DF:$DF),"")</f>
        <v/>
      </c>
      <c r="N177" s="189" t="str">
        <f>IFERROR(_xlfn.XLOOKUP($A177,Input_Raw!$A:$A,Input_Raw!$DG:$DG),"")</f>
        <v/>
      </c>
      <c r="O177" s="219" t="str">
        <f>IFERROR(1-(SUMIF(Plant_BD!$B:$B,$A177,Plant_BD!$AL:$AL)/($AA177+SUMIF(Plant_BD!$B:$B,$A177,Plant_BD!$AL:$AL))),"")</f>
        <v/>
      </c>
      <c r="P177" s="219"/>
      <c r="Q177" s="220" t="str">
        <f>IFERROR(1-(SUMIF(Grid_BD!$B:$B,$A177,Grid_BD!$V:$V)/($AA177+SUMIF(Grid_BD!$B:$B,$A177,Grid_BD!$V:$V))),"")</f>
        <v/>
      </c>
      <c r="R177" s="219" t="str">
        <f>IFERROR(1-(SUMIF(Grid_BD!$B:$B,$A177,Grid_BD!$V:$V)/($AA177+SUMIF(Grid_BD!$B:$B,$A177,Grid_BD!$V:$V))),"")</f>
        <v/>
      </c>
      <c r="S177" s="9"/>
      <c r="T177" s="220"/>
      <c r="U177" s="221" t="str">
        <f t="shared" si="16"/>
        <v/>
      </c>
      <c r="V177" s="221" t="str">
        <f>IFERROR(_xlfn.XLOOKUP($A177,Input_Raw!$A:$A,Input_Raw!$FG:$FG),"")</f>
        <v/>
      </c>
      <c r="W177" s="222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78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22">
        <f>IFERROR(_xlfn.XLOOKUP($D177,'Modelling New'!$D:$D,'Modelling New'!O:O),"")</f>
        <v>0.84314233235469738</v>
      </c>
      <c r="AF177" s="222">
        <f>IFERROR(_xlfn.XLOOKUP($D177,'Modelling New'!$D:$D,'Modelling New'!W:W),"")</f>
        <v>0.17624016808247492</v>
      </c>
      <c r="AG177" s="222">
        <f>IFERROR(_xlfn.XLOOKUP($D177,'Modelling New'!$D:$D,'Modelling New'!AE:AE),"")</f>
        <v>0.995</v>
      </c>
      <c r="AH177" s="222">
        <f>IFERROR(_xlfn.XLOOKUP($D177,'Modelling New'!$D:$D,'Modelling New'!AF:AF),"")</f>
        <v>0.995</v>
      </c>
      <c r="AI177" s="9"/>
      <c r="AJ177" s="9"/>
      <c r="AK177" s="245"/>
      <c r="AL177" s="245"/>
      <c r="AM177" s="245"/>
      <c r="AN177" s="219"/>
      <c r="AO177" s="222"/>
      <c r="AP177" s="222"/>
      <c r="AQ177" s="222"/>
      <c r="AR177" s="223">
        <f>_xlfn.XLOOKUP(D177,'Modelling New'!$D:$D,'Modelling New'!$N:$N)</f>
        <v>130</v>
      </c>
      <c r="AS177" s="223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18">
        <f>Table13[[#This Row],[Date]]-DAY(Table13[[#This Row],[Date]])+1</f>
        <v>45901</v>
      </c>
      <c r="E178" s="9">
        <f t="shared" si="15"/>
        <v>30</v>
      </c>
      <c r="F178" s="188" t="str">
        <f>IFERROR(_xlfn.XLOOKUP($A178,Input_Raw!$A:$A,Input_Raw!$FC:$FC),"")</f>
        <v/>
      </c>
      <c r="G178" s="189" t="str">
        <f>IFERROR(_xlfn.XLOOKUP($A178,Input_Raw!$A:$A,Input_Raw!$CY:$CY),"")</f>
        <v/>
      </c>
      <c r="H178" s="189" t="str">
        <f>IFERROR(_xlfn.XLOOKUP($A178,Input_Raw!$A:$A,Input_Raw!$DA:$DA),"")</f>
        <v/>
      </c>
      <c r="I178" s="189" t="str">
        <f>IFERROR(_xlfn.XLOOKUP($A178,Input_Raw!$A:$A,Input_Raw!$CX:$CX),"")</f>
        <v/>
      </c>
      <c r="J178" s="189" t="str">
        <f>IFERROR(_xlfn.XLOOKUP($A178,Input_Raw!$A:$A,Input_Raw!$CZ:$CZ),"")</f>
        <v/>
      </c>
      <c r="K178" s="190" t="str">
        <f>IFERROR(_xlfn.XLOOKUP($A178,Input_Raw!$A:$A,Input_Raw!$DB:$DB),"")</f>
        <v/>
      </c>
      <c r="L178" s="190" t="str">
        <f>IFERROR(_xlfn.XLOOKUP($A178,Input_Raw!$A:$A,Input_Raw!$DC:$DC),"")</f>
        <v/>
      </c>
      <c r="M178" s="189" t="str">
        <f>IFERROR(_xlfn.XLOOKUP($A178,Input_Raw!$A:$A,Input_Raw!$DF:$DF),"")</f>
        <v/>
      </c>
      <c r="N178" s="189" t="str">
        <f>IFERROR(_xlfn.XLOOKUP($A178,Input_Raw!$A:$A,Input_Raw!$DG:$DG),"")</f>
        <v/>
      </c>
      <c r="O178" s="219" t="str">
        <f>IFERROR(1-(SUMIF(Plant_BD!$B:$B,$A178,Plant_BD!$AL:$AL)/($AA178+SUMIF(Plant_BD!$B:$B,$A178,Plant_BD!$AL:$AL))),"")</f>
        <v/>
      </c>
      <c r="P178" s="219"/>
      <c r="Q178" s="220" t="str">
        <f>IFERROR(1-(SUMIF(Grid_BD!$B:$B,$A178,Grid_BD!$V:$V)/($AA178+SUMIF(Grid_BD!$B:$B,$A178,Grid_BD!$V:$V))),"")</f>
        <v/>
      </c>
      <c r="R178" s="219" t="str">
        <f>IFERROR(1-(SUMIF(Grid_BD!$B:$B,$A178,Grid_BD!$V:$V)/($AA178+SUMIF(Grid_BD!$B:$B,$A178,Grid_BD!$V:$V))),"")</f>
        <v/>
      </c>
      <c r="S178" s="9"/>
      <c r="T178" s="220"/>
      <c r="U178" s="221" t="str">
        <f t="shared" si="16"/>
        <v/>
      </c>
      <c r="V178" s="221" t="str">
        <f>IFERROR(_xlfn.XLOOKUP($A178,Input_Raw!$A:$A,Input_Raw!$FG:$FG),"")</f>
        <v/>
      </c>
      <c r="W178" s="222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78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22">
        <f>IFERROR(_xlfn.XLOOKUP($D178,'Modelling New'!$D:$D,'Modelling New'!O:O),"")</f>
        <v>0.84314233235469738</v>
      </c>
      <c r="AF178" s="222">
        <f>IFERROR(_xlfn.XLOOKUP($D178,'Modelling New'!$D:$D,'Modelling New'!W:W),"")</f>
        <v>0.17624016808247492</v>
      </c>
      <c r="AG178" s="222">
        <f>IFERROR(_xlfn.XLOOKUP($D178,'Modelling New'!$D:$D,'Modelling New'!AE:AE),"")</f>
        <v>0.995</v>
      </c>
      <c r="AH178" s="222">
        <f>IFERROR(_xlfn.XLOOKUP($D178,'Modelling New'!$D:$D,'Modelling New'!AF:AF),"")</f>
        <v>0.995</v>
      </c>
      <c r="AI178" s="9"/>
      <c r="AJ178" s="9"/>
      <c r="AK178" s="245"/>
      <c r="AL178" s="245"/>
      <c r="AM178" s="245"/>
      <c r="AN178" s="219"/>
      <c r="AO178" s="222"/>
      <c r="AP178" s="222"/>
      <c r="AQ178" s="222"/>
      <c r="AR178" s="223">
        <f>_xlfn.XLOOKUP(D178,'Modelling New'!$D:$D,'Modelling New'!$N:$N)</f>
        <v>130</v>
      </c>
      <c r="AS178" s="223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18">
        <f>Table13[[#This Row],[Date]]-DAY(Table13[[#This Row],[Date]])+1</f>
        <v>45901</v>
      </c>
      <c r="E179" s="9">
        <f t="shared" si="15"/>
        <v>30</v>
      </c>
      <c r="F179" s="188" t="str">
        <f>IFERROR(_xlfn.XLOOKUP($A179,Input_Raw!$A:$A,Input_Raw!$FC:$FC),"")</f>
        <v/>
      </c>
      <c r="G179" s="178" t="str">
        <f>IFERROR(_xlfn.XLOOKUP($A179,Input_Raw!$A:$A,Input_Raw!$CY:$CY),"")</f>
        <v/>
      </c>
      <c r="H179" s="178" t="str">
        <f>IFERROR(_xlfn.XLOOKUP($A179,Input_Raw!$A:$A,Input_Raw!$DA:$DA),"")</f>
        <v/>
      </c>
      <c r="I179" s="178" t="str">
        <f>IFERROR(_xlfn.XLOOKUP($A179,Input_Raw!$A:$A,Input_Raw!$CX:$CX),"")</f>
        <v/>
      </c>
      <c r="J179" s="178" t="str">
        <f>IFERROR(_xlfn.XLOOKUP($A179,Input_Raw!$A:$A,Input_Raw!$CZ:$CZ),"")</f>
        <v/>
      </c>
      <c r="K179" s="190" t="str">
        <f>IFERROR(_xlfn.XLOOKUP($A179,Input_Raw!$A:$A,Input_Raw!$DB:$DB),"")</f>
        <v/>
      </c>
      <c r="L179" s="190" t="str">
        <f>IFERROR(_xlfn.XLOOKUP($A179,Input_Raw!$A:$A,Input_Raw!$DC:$DC),"")</f>
        <v/>
      </c>
      <c r="M179" s="189" t="str">
        <f>IFERROR(_xlfn.XLOOKUP($A179,Input_Raw!$A:$A,Input_Raw!$DF:$DF),"")</f>
        <v/>
      </c>
      <c r="N179" s="189" t="str">
        <f>IFERROR(_xlfn.XLOOKUP($A179,Input_Raw!$A:$A,Input_Raw!$DG:$DG),"")</f>
        <v/>
      </c>
      <c r="O179" s="219" t="str">
        <f>IFERROR(1-(SUMIF(Plant_BD!$B:$B,$A179,Plant_BD!$AL:$AL)/($AA179+SUMIF(Plant_BD!$B:$B,$A179,Plant_BD!$AL:$AL))),"")</f>
        <v/>
      </c>
      <c r="P179" s="219"/>
      <c r="Q179" s="220" t="str">
        <f>IFERROR(1-(SUMIF(Grid_BD!$B:$B,$A179,Grid_BD!$V:$V)/($AA179+SUMIF(Grid_BD!$B:$B,$A179,Grid_BD!$V:$V))),"")</f>
        <v/>
      </c>
      <c r="R179" s="219" t="str">
        <f>IFERROR(1-(SUMIF(Grid_BD!$B:$B,$A179,Grid_BD!$V:$V)/($AA179+SUMIF(Grid_BD!$B:$B,$A179,Grid_BD!$V:$V))),"")</f>
        <v/>
      </c>
      <c r="S179" s="9"/>
      <c r="T179" s="220"/>
      <c r="U179" s="221" t="str">
        <f t="shared" si="16"/>
        <v/>
      </c>
      <c r="V179" s="221" t="str">
        <f>IFERROR(_xlfn.XLOOKUP($A179,Input_Raw!$A:$A,Input_Raw!$FG:$FG),"")</f>
        <v/>
      </c>
      <c r="W179" s="222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78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22">
        <f>IFERROR(_xlfn.XLOOKUP($D179,'Modelling New'!$D:$D,'Modelling New'!O:O),"")</f>
        <v>0.84314233235469738</v>
      </c>
      <c r="AF179" s="222">
        <f>IFERROR(_xlfn.XLOOKUP($D179,'Modelling New'!$D:$D,'Modelling New'!W:W),"")</f>
        <v>0.17624016808247492</v>
      </c>
      <c r="AG179" s="222">
        <f>IFERROR(_xlfn.XLOOKUP($D179,'Modelling New'!$D:$D,'Modelling New'!AE:AE),"")</f>
        <v>0.995</v>
      </c>
      <c r="AH179" s="222">
        <f>IFERROR(_xlfn.XLOOKUP($D179,'Modelling New'!$D:$D,'Modelling New'!AF:AF),"")</f>
        <v>0.995</v>
      </c>
      <c r="AI179" s="9"/>
      <c r="AJ179" s="9"/>
      <c r="AK179" s="245"/>
      <c r="AL179" s="245"/>
      <c r="AM179" s="245"/>
      <c r="AN179" s="219"/>
      <c r="AO179" s="222"/>
      <c r="AP179" s="222"/>
      <c r="AQ179" s="222"/>
      <c r="AR179" s="223">
        <f>_xlfn.XLOOKUP(D179,'Modelling New'!$D:$D,'Modelling New'!$N:$N)</f>
        <v>130</v>
      </c>
      <c r="AS179" s="223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18">
        <f>Table13[[#This Row],[Date]]-DAY(Table13[[#This Row],[Date]])+1</f>
        <v>45901</v>
      </c>
      <c r="E180" s="9">
        <f t="shared" si="15"/>
        <v>30</v>
      </c>
      <c r="F180" s="188" t="str">
        <f>IFERROR(_xlfn.XLOOKUP($A180,Input_Raw!$A:$A,Input_Raw!$FC:$FC),"")</f>
        <v/>
      </c>
      <c r="G180" s="189" t="str">
        <f>IFERROR(_xlfn.XLOOKUP($A180,Input_Raw!$A:$A,Input_Raw!$CY:$CY),"")</f>
        <v/>
      </c>
      <c r="H180" s="189" t="str">
        <f>IFERROR(_xlfn.XLOOKUP($A180,Input_Raw!$A:$A,Input_Raw!$DA:$DA),"")</f>
        <v/>
      </c>
      <c r="I180" s="189" t="str">
        <f>IFERROR(_xlfn.XLOOKUP($A180,Input_Raw!$A:$A,Input_Raw!$CX:$CX),"")</f>
        <v/>
      </c>
      <c r="J180" s="189" t="str">
        <f>IFERROR(_xlfn.XLOOKUP($A180,Input_Raw!$A:$A,Input_Raw!$CZ:$CZ),"")</f>
        <v/>
      </c>
      <c r="K180" s="190" t="str">
        <f>IFERROR(_xlfn.XLOOKUP($A180,Input_Raw!$A:$A,Input_Raw!$DB:$DB),"")</f>
        <v/>
      </c>
      <c r="L180" s="190" t="str">
        <f>IFERROR(_xlfn.XLOOKUP($A180,Input_Raw!$A:$A,Input_Raw!$DC:$DC),"")</f>
        <v/>
      </c>
      <c r="M180" s="189" t="str">
        <f>IFERROR(_xlfn.XLOOKUP($A180,Input_Raw!$A:$A,Input_Raw!$DF:$DF),"")</f>
        <v/>
      </c>
      <c r="N180" s="189" t="str">
        <f>IFERROR(_xlfn.XLOOKUP($A180,Input_Raw!$A:$A,Input_Raw!$DG:$DG),"")</f>
        <v/>
      </c>
      <c r="O180" s="219" t="str">
        <f>IFERROR(1-(SUMIF(Plant_BD!$B:$B,$A180,Plant_BD!$AL:$AL)/($AA180+SUMIF(Plant_BD!$B:$B,$A180,Plant_BD!$AL:$AL))),"")</f>
        <v/>
      </c>
      <c r="P180" s="219"/>
      <c r="Q180" s="220" t="str">
        <f>IFERROR(1-(SUMIF(Grid_BD!$B:$B,$A180,Grid_BD!$V:$V)/($AA180+SUMIF(Grid_BD!$B:$B,$A180,Grid_BD!$V:$V))),"")</f>
        <v/>
      </c>
      <c r="R180" s="219" t="str">
        <f>IFERROR(1-(SUMIF(Grid_BD!$B:$B,$A180,Grid_BD!$V:$V)/($AA180+SUMIF(Grid_BD!$B:$B,$A180,Grid_BD!$V:$V))),"")</f>
        <v/>
      </c>
      <c r="S180" s="9"/>
      <c r="T180" s="220"/>
      <c r="U180" s="221" t="str">
        <f t="shared" si="16"/>
        <v/>
      </c>
      <c r="V180" s="221" t="str">
        <f>IFERROR(_xlfn.XLOOKUP($A180,Input_Raw!$A:$A,Input_Raw!$FG:$FG),"")</f>
        <v/>
      </c>
      <c r="W180" s="222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78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22">
        <f>IFERROR(_xlfn.XLOOKUP($D180,'Modelling New'!$D:$D,'Modelling New'!O:O),"")</f>
        <v>0.84314233235469738</v>
      </c>
      <c r="AF180" s="222">
        <f>IFERROR(_xlfn.XLOOKUP($D180,'Modelling New'!$D:$D,'Modelling New'!W:W),"")</f>
        <v>0.17624016808247492</v>
      </c>
      <c r="AG180" s="222">
        <f>IFERROR(_xlfn.XLOOKUP($D180,'Modelling New'!$D:$D,'Modelling New'!AE:AE),"")</f>
        <v>0.995</v>
      </c>
      <c r="AH180" s="222">
        <f>IFERROR(_xlfn.XLOOKUP($D180,'Modelling New'!$D:$D,'Modelling New'!AF:AF),"")</f>
        <v>0.995</v>
      </c>
      <c r="AI180" s="9"/>
      <c r="AJ180" s="9"/>
      <c r="AK180" s="245"/>
      <c r="AL180" s="245"/>
      <c r="AM180" s="245"/>
      <c r="AN180" s="219"/>
      <c r="AO180" s="222"/>
      <c r="AP180" s="222"/>
      <c r="AQ180" s="222"/>
      <c r="AR180" s="223">
        <f>_xlfn.XLOOKUP(D180,'Modelling New'!$D:$D,'Modelling New'!$N:$N)</f>
        <v>130</v>
      </c>
      <c r="AS180" s="223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18">
        <f>Table13[[#This Row],[Date]]-DAY(Table13[[#This Row],[Date]])+1</f>
        <v>45901</v>
      </c>
      <c r="E181" s="9">
        <f t="shared" si="15"/>
        <v>30</v>
      </c>
      <c r="F181" s="188" t="str">
        <f>IFERROR(_xlfn.XLOOKUP($A181,Input_Raw!$A:$A,Input_Raw!$FC:$FC),"")</f>
        <v/>
      </c>
      <c r="G181" s="178" t="str">
        <f>IFERROR(_xlfn.XLOOKUP($A181,Input_Raw!$A:$A,Input_Raw!$CY:$CY),"")</f>
        <v/>
      </c>
      <c r="H181" s="178" t="str">
        <f>IFERROR(_xlfn.XLOOKUP($A181,Input_Raw!$A:$A,Input_Raw!$DA:$DA),"")</f>
        <v/>
      </c>
      <c r="I181" s="178" t="str">
        <f>IFERROR(_xlfn.XLOOKUP($A181,Input_Raw!$A:$A,Input_Raw!$CX:$CX),"")</f>
        <v/>
      </c>
      <c r="J181" s="178" t="str">
        <f>IFERROR(_xlfn.XLOOKUP($A181,Input_Raw!$A:$A,Input_Raw!$CZ:$CZ),"")</f>
        <v/>
      </c>
      <c r="K181" s="190" t="str">
        <f>IFERROR(_xlfn.XLOOKUP($A181,Input_Raw!$A:$A,Input_Raw!$DB:$DB),"")</f>
        <v/>
      </c>
      <c r="L181" s="190" t="str">
        <f>IFERROR(_xlfn.XLOOKUP($A181,Input_Raw!$A:$A,Input_Raw!$DC:$DC),"")</f>
        <v/>
      </c>
      <c r="M181" s="189" t="str">
        <f>IFERROR(_xlfn.XLOOKUP($A181,Input_Raw!$A:$A,Input_Raw!$DF:$DF),"")</f>
        <v/>
      </c>
      <c r="N181" s="189" t="str">
        <f>IFERROR(_xlfn.XLOOKUP($A181,Input_Raw!$A:$A,Input_Raw!$DG:$DG),"")</f>
        <v/>
      </c>
      <c r="O181" s="219" t="str">
        <f>IFERROR(1-(SUMIF(Plant_BD!$B:$B,$A181,Plant_BD!$AL:$AL)/($AA181+SUMIF(Plant_BD!$B:$B,$A181,Plant_BD!$AL:$AL))),"")</f>
        <v/>
      </c>
      <c r="P181" s="219"/>
      <c r="Q181" s="220" t="str">
        <f>IFERROR(1-(SUMIF(Grid_BD!$B:$B,$A181,Grid_BD!$V:$V)/($AA181+SUMIF(Grid_BD!$B:$B,$A181,Grid_BD!$V:$V))),"")</f>
        <v/>
      </c>
      <c r="R181" s="219" t="str">
        <f>IFERROR(1-(SUMIF(Grid_BD!$B:$B,$A181,Grid_BD!$V:$V)/($AA181+SUMIF(Grid_BD!$B:$B,$A181,Grid_BD!$V:$V))),"")</f>
        <v/>
      </c>
      <c r="S181" s="9"/>
      <c r="T181" s="220"/>
      <c r="U181" s="221" t="str">
        <f t="shared" si="16"/>
        <v/>
      </c>
      <c r="V181" s="221" t="str">
        <f>IFERROR(_xlfn.XLOOKUP($A181,Input_Raw!$A:$A,Input_Raw!$FG:$FG),"")</f>
        <v/>
      </c>
      <c r="W181" s="222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78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22">
        <f>IFERROR(_xlfn.XLOOKUP($D181,'Modelling New'!$D:$D,'Modelling New'!O:O),"")</f>
        <v>0.84314233235469738</v>
      </c>
      <c r="AF181" s="222">
        <f>IFERROR(_xlfn.XLOOKUP($D181,'Modelling New'!$D:$D,'Modelling New'!W:W),"")</f>
        <v>0.17624016808247492</v>
      </c>
      <c r="AG181" s="222">
        <f>IFERROR(_xlfn.XLOOKUP($D181,'Modelling New'!$D:$D,'Modelling New'!AE:AE),"")</f>
        <v>0.995</v>
      </c>
      <c r="AH181" s="222">
        <f>IFERROR(_xlfn.XLOOKUP($D181,'Modelling New'!$D:$D,'Modelling New'!AF:AF),"")</f>
        <v>0.995</v>
      </c>
      <c r="AI181" s="9"/>
      <c r="AJ181" s="9"/>
      <c r="AK181" s="245"/>
      <c r="AL181" s="245"/>
      <c r="AM181" s="245"/>
      <c r="AN181" s="219"/>
      <c r="AO181" s="222"/>
      <c r="AP181" s="222"/>
      <c r="AQ181" s="222"/>
      <c r="AR181" s="223">
        <f>_xlfn.XLOOKUP(D181,'Modelling New'!$D:$D,'Modelling New'!$N:$N)</f>
        <v>130</v>
      </c>
      <c r="AS181" s="223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18">
        <f>Table13[[#This Row],[Date]]-DAY(Table13[[#This Row],[Date]])+1</f>
        <v>45901</v>
      </c>
      <c r="E182" s="9">
        <f t="shared" si="15"/>
        <v>30</v>
      </c>
      <c r="F182" s="188" t="str">
        <f>IFERROR(_xlfn.XLOOKUP($A182,Input_Raw!$A:$A,Input_Raw!$FC:$FC),"")</f>
        <v/>
      </c>
      <c r="G182" s="189" t="str">
        <f>IFERROR(_xlfn.XLOOKUP($A182,Input_Raw!$A:$A,Input_Raw!$CY:$CY),"")</f>
        <v/>
      </c>
      <c r="H182" s="189" t="str">
        <f>IFERROR(_xlfn.XLOOKUP($A182,Input_Raw!$A:$A,Input_Raw!$DA:$DA),"")</f>
        <v/>
      </c>
      <c r="I182" s="189" t="str">
        <f>IFERROR(_xlfn.XLOOKUP($A182,Input_Raw!$A:$A,Input_Raw!$CX:$CX),"")</f>
        <v/>
      </c>
      <c r="J182" s="189" t="str">
        <f>IFERROR(_xlfn.XLOOKUP($A182,Input_Raw!$A:$A,Input_Raw!$CZ:$CZ),"")</f>
        <v/>
      </c>
      <c r="K182" s="190" t="str">
        <f>IFERROR(_xlfn.XLOOKUP($A182,Input_Raw!$A:$A,Input_Raw!$DB:$DB),"")</f>
        <v/>
      </c>
      <c r="L182" s="190" t="str">
        <f>IFERROR(_xlfn.XLOOKUP($A182,Input_Raw!$A:$A,Input_Raw!$DC:$DC),"")</f>
        <v/>
      </c>
      <c r="M182" s="189" t="str">
        <f>IFERROR(_xlfn.XLOOKUP($A182,Input_Raw!$A:$A,Input_Raw!$DF:$DF),"")</f>
        <v/>
      </c>
      <c r="N182" s="189" t="str">
        <f>IFERROR(_xlfn.XLOOKUP($A182,Input_Raw!$A:$A,Input_Raw!$DG:$DG),"")</f>
        <v/>
      </c>
      <c r="O182" s="219" t="str">
        <f>IFERROR(1-(SUMIF(Plant_BD!$B:$B,$A182,Plant_BD!$AL:$AL)/($AA182+SUMIF(Plant_BD!$B:$B,$A182,Plant_BD!$AL:$AL))),"")</f>
        <v/>
      </c>
      <c r="P182" s="219"/>
      <c r="Q182" s="220" t="str">
        <f>IFERROR(1-(SUMIF(Grid_BD!$B:$B,$A182,Grid_BD!$V:$V)/($AA182+SUMIF(Grid_BD!$B:$B,$A182,Grid_BD!$V:$V))),"")</f>
        <v/>
      </c>
      <c r="R182" s="219" t="str">
        <f>IFERROR(1-(SUMIF(Grid_BD!$B:$B,$A182,Grid_BD!$V:$V)/($AA182+SUMIF(Grid_BD!$B:$B,$A182,Grid_BD!$V:$V))),"")</f>
        <v/>
      </c>
      <c r="S182" s="9"/>
      <c r="T182" s="220"/>
      <c r="U182" s="221" t="str">
        <f t="shared" si="16"/>
        <v/>
      </c>
      <c r="V182" s="221" t="str">
        <f>IFERROR(_xlfn.XLOOKUP($A182,Input_Raw!$A:$A,Input_Raw!$FG:$FG),"")</f>
        <v/>
      </c>
      <c r="W182" s="222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78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22">
        <f>IFERROR(_xlfn.XLOOKUP($D182,'Modelling New'!$D:$D,'Modelling New'!O:O),"")</f>
        <v>0.84314233235469738</v>
      </c>
      <c r="AF182" s="222">
        <f>IFERROR(_xlfn.XLOOKUP($D182,'Modelling New'!$D:$D,'Modelling New'!W:W),"")</f>
        <v>0.17624016808247492</v>
      </c>
      <c r="AG182" s="222">
        <f>IFERROR(_xlfn.XLOOKUP($D182,'Modelling New'!$D:$D,'Modelling New'!AE:AE),"")</f>
        <v>0.995</v>
      </c>
      <c r="AH182" s="222">
        <f>IFERROR(_xlfn.XLOOKUP($D182,'Modelling New'!$D:$D,'Modelling New'!AF:AF),"")</f>
        <v>0.995</v>
      </c>
      <c r="AI182" s="9"/>
      <c r="AJ182" s="9"/>
      <c r="AK182" s="245"/>
      <c r="AL182" s="245"/>
      <c r="AM182" s="245"/>
      <c r="AN182" s="219"/>
      <c r="AO182" s="222"/>
      <c r="AP182" s="222"/>
      <c r="AQ182" s="222"/>
      <c r="AR182" s="223">
        <f>_xlfn.XLOOKUP(D182,'Modelling New'!$D:$D,'Modelling New'!$N:$N)</f>
        <v>130</v>
      </c>
      <c r="AS182" s="223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18">
        <f>Table13[[#This Row],[Date]]-DAY(Table13[[#This Row],[Date]])+1</f>
        <v>45901</v>
      </c>
      <c r="E183" s="9">
        <f t="shared" si="15"/>
        <v>30</v>
      </c>
      <c r="F183" s="188" t="str">
        <f>IFERROR(_xlfn.XLOOKUP($A183,Input_Raw!$A:$A,Input_Raw!$FC:$FC),"")</f>
        <v/>
      </c>
      <c r="G183" s="178" t="str">
        <f>IFERROR(_xlfn.XLOOKUP($A183,Input_Raw!$A:$A,Input_Raw!$CY:$CY),"")</f>
        <v/>
      </c>
      <c r="H183" s="178" t="str">
        <f>IFERROR(_xlfn.XLOOKUP($A183,Input_Raw!$A:$A,Input_Raw!$DA:$DA),"")</f>
        <v/>
      </c>
      <c r="I183" s="178" t="str">
        <f>IFERROR(_xlfn.XLOOKUP($A183,Input_Raw!$A:$A,Input_Raw!$CX:$CX),"")</f>
        <v/>
      </c>
      <c r="J183" s="178" t="str">
        <f>IFERROR(_xlfn.XLOOKUP($A183,Input_Raw!$A:$A,Input_Raw!$CZ:$CZ),"")</f>
        <v/>
      </c>
      <c r="K183" s="190" t="str">
        <f>IFERROR(_xlfn.XLOOKUP($A183,Input_Raw!$A:$A,Input_Raw!$DB:$DB),"")</f>
        <v/>
      </c>
      <c r="L183" s="190" t="str">
        <f>IFERROR(_xlfn.XLOOKUP($A183,Input_Raw!$A:$A,Input_Raw!$DC:$DC),"")</f>
        <v/>
      </c>
      <c r="M183" s="189" t="str">
        <f>IFERROR(_xlfn.XLOOKUP($A183,Input_Raw!$A:$A,Input_Raw!$DF:$DF),"")</f>
        <v/>
      </c>
      <c r="N183" s="189" t="str">
        <f>IFERROR(_xlfn.XLOOKUP($A183,Input_Raw!$A:$A,Input_Raw!$DG:$DG),"")</f>
        <v/>
      </c>
      <c r="O183" s="219" t="str">
        <f>IFERROR(1-(SUMIF(Plant_BD!$B:$B,$A183,Plant_BD!$AL:$AL)/($AA183+SUMIF(Plant_BD!$B:$B,$A183,Plant_BD!$AL:$AL))),"")</f>
        <v/>
      </c>
      <c r="P183" s="219"/>
      <c r="Q183" s="220" t="str">
        <f>IFERROR(1-(SUMIF(Grid_BD!$B:$B,$A183,Grid_BD!$V:$V)/($AA183+SUMIF(Grid_BD!$B:$B,$A183,Grid_BD!$V:$V))),"")</f>
        <v/>
      </c>
      <c r="R183" s="219" t="str">
        <f>IFERROR(1-(SUMIF(Grid_BD!$B:$B,$A183,Grid_BD!$V:$V)/($AA183+SUMIF(Grid_BD!$B:$B,$A183,Grid_BD!$V:$V))),"")</f>
        <v/>
      </c>
      <c r="S183" s="9"/>
      <c r="T183" s="220"/>
      <c r="U183" s="221" t="str">
        <f t="shared" si="16"/>
        <v/>
      </c>
      <c r="V183" s="221" t="str">
        <f>IFERROR(_xlfn.XLOOKUP($A183,Input_Raw!$A:$A,Input_Raw!$FG:$FG),"")</f>
        <v/>
      </c>
      <c r="W183" s="222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78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22">
        <f>IFERROR(_xlfn.XLOOKUP($D183,'Modelling New'!$D:$D,'Modelling New'!O:O),"")</f>
        <v>0.84314233235469738</v>
      </c>
      <c r="AF183" s="222">
        <f>IFERROR(_xlfn.XLOOKUP($D183,'Modelling New'!$D:$D,'Modelling New'!W:W),"")</f>
        <v>0.17624016808247492</v>
      </c>
      <c r="AG183" s="222">
        <f>IFERROR(_xlfn.XLOOKUP($D183,'Modelling New'!$D:$D,'Modelling New'!AE:AE),"")</f>
        <v>0.995</v>
      </c>
      <c r="AH183" s="222">
        <f>IFERROR(_xlfn.XLOOKUP($D183,'Modelling New'!$D:$D,'Modelling New'!AF:AF),"")</f>
        <v>0.995</v>
      </c>
      <c r="AI183" s="9"/>
      <c r="AJ183" s="9"/>
      <c r="AK183" s="245"/>
      <c r="AL183" s="245"/>
      <c r="AM183" s="245"/>
      <c r="AN183" s="219"/>
      <c r="AO183" s="222"/>
      <c r="AP183" s="222"/>
      <c r="AQ183" s="222"/>
      <c r="AR183" s="223">
        <f>_xlfn.XLOOKUP(D183,'Modelling New'!$D:$D,'Modelling New'!$N:$N)</f>
        <v>130</v>
      </c>
      <c r="AS183" s="223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18">
        <f>Table13[[#This Row],[Date]]-DAY(Table13[[#This Row],[Date]])+1</f>
        <v>45901</v>
      </c>
      <c r="E184" s="9">
        <f t="shared" si="15"/>
        <v>30</v>
      </c>
      <c r="F184" s="188" t="str">
        <f>IFERROR(_xlfn.XLOOKUP($A184,Input_Raw!$A:$A,Input_Raw!$FC:$FC),"")</f>
        <v/>
      </c>
      <c r="G184" s="189" t="str">
        <f>IFERROR(_xlfn.XLOOKUP($A184,Input_Raw!$A:$A,Input_Raw!$CY:$CY),"")</f>
        <v/>
      </c>
      <c r="H184" s="189" t="str">
        <f>IFERROR(_xlfn.XLOOKUP($A184,Input_Raw!$A:$A,Input_Raw!$DA:$DA),"")</f>
        <v/>
      </c>
      <c r="I184" s="189" t="str">
        <f>IFERROR(_xlfn.XLOOKUP($A184,Input_Raw!$A:$A,Input_Raw!$CX:$CX),"")</f>
        <v/>
      </c>
      <c r="J184" s="189" t="str">
        <f>IFERROR(_xlfn.XLOOKUP($A184,Input_Raw!$A:$A,Input_Raw!$CZ:$CZ),"")</f>
        <v/>
      </c>
      <c r="K184" s="190" t="str">
        <f>IFERROR(_xlfn.XLOOKUP($A184,Input_Raw!$A:$A,Input_Raw!$DB:$DB),"")</f>
        <v/>
      </c>
      <c r="L184" s="190" t="str">
        <f>IFERROR(_xlfn.XLOOKUP($A184,Input_Raw!$A:$A,Input_Raw!$DC:$DC),"")</f>
        <v/>
      </c>
      <c r="M184" s="189" t="str">
        <f>IFERROR(_xlfn.XLOOKUP($A184,Input_Raw!$A:$A,Input_Raw!$DF:$DF),"")</f>
        <v/>
      </c>
      <c r="N184" s="189" t="str">
        <f>IFERROR(_xlfn.XLOOKUP($A184,Input_Raw!$A:$A,Input_Raw!$DG:$DG),"")</f>
        <v/>
      </c>
      <c r="O184" s="219" t="str">
        <f>IFERROR(1-(SUMIF(Plant_BD!$B:$B,$A184,Plant_BD!$AL:$AL)/($AA184+SUMIF(Plant_BD!$B:$B,$A184,Plant_BD!$AL:$AL))),"")</f>
        <v/>
      </c>
      <c r="P184" s="219"/>
      <c r="Q184" s="220" t="str">
        <f>IFERROR(1-(SUMIF(Grid_BD!$B:$B,$A184,Grid_BD!$V:$V)/($AA184+SUMIF(Grid_BD!$B:$B,$A184,Grid_BD!$V:$V))),"")</f>
        <v/>
      </c>
      <c r="R184" s="219" t="str">
        <f>IFERROR(1-(SUMIF(Grid_BD!$B:$B,$A184,Grid_BD!$V:$V)/($AA184+SUMIF(Grid_BD!$B:$B,$A184,Grid_BD!$V:$V))),"")</f>
        <v/>
      </c>
      <c r="S184" s="9"/>
      <c r="T184" s="220"/>
      <c r="U184" s="221" t="str">
        <f t="shared" si="16"/>
        <v/>
      </c>
      <c r="V184" s="221" t="str">
        <f>IFERROR(_xlfn.XLOOKUP($A184,Input_Raw!$A:$A,Input_Raw!$FG:$FG),"")</f>
        <v/>
      </c>
      <c r="W184" s="222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78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22">
        <f>IFERROR(_xlfn.XLOOKUP($D184,'Modelling New'!$D:$D,'Modelling New'!O:O),"")</f>
        <v>0.84314233235469738</v>
      </c>
      <c r="AF184" s="222">
        <f>IFERROR(_xlfn.XLOOKUP($D184,'Modelling New'!$D:$D,'Modelling New'!W:W),"")</f>
        <v>0.17624016808247492</v>
      </c>
      <c r="AG184" s="222">
        <f>IFERROR(_xlfn.XLOOKUP($D184,'Modelling New'!$D:$D,'Modelling New'!AE:AE),"")</f>
        <v>0.995</v>
      </c>
      <c r="AH184" s="222">
        <f>IFERROR(_xlfn.XLOOKUP($D184,'Modelling New'!$D:$D,'Modelling New'!AF:AF),"")</f>
        <v>0.995</v>
      </c>
      <c r="AI184" s="9"/>
      <c r="AJ184" s="9"/>
      <c r="AK184" s="245"/>
      <c r="AL184" s="245"/>
      <c r="AM184" s="245"/>
      <c r="AN184" s="219"/>
      <c r="AO184" s="222"/>
      <c r="AP184" s="222"/>
      <c r="AQ184" s="222"/>
      <c r="AR184" s="223">
        <f>_xlfn.XLOOKUP(D184,'Modelling New'!$D:$D,'Modelling New'!$N:$N)</f>
        <v>130</v>
      </c>
      <c r="AS184" s="223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18">
        <f>Table13[[#This Row],[Date]]-DAY(Table13[[#This Row],[Date]])+1</f>
        <v>45901</v>
      </c>
      <c r="E185" s="9">
        <f t="shared" si="15"/>
        <v>30</v>
      </c>
      <c r="F185" s="188" t="str">
        <f>IFERROR(_xlfn.XLOOKUP($A185,Input_Raw!$A:$A,Input_Raw!$FC:$FC),"")</f>
        <v/>
      </c>
      <c r="G185" s="178" t="str">
        <f>IFERROR(_xlfn.XLOOKUP($A185,Input_Raw!$A:$A,Input_Raw!$CY:$CY),"")</f>
        <v/>
      </c>
      <c r="H185" s="178" t="str">
        <f>IFERROR(_xlfn.XLOOKUP($A185,Input_Raw!$A:$A,Input_Raw!$DA:$DA),"")</f>
        <v/>
      </c>
      <c r="I185" s="178" t="str">
        <f>IFERROR(_xlfn.XLOOKUP($A185,Input_Raw!$A:$A,Input_Raw!$CX:$CX),"")</f>
        <v/>
      </c>
      <c r="J185" s="178" t="str">
        <f>IFERROR(_xlfn.XLOOKUP($A185,Input_Raw!$A:$A,Input_Raw!$CZ:$CZ),"")</f>
        <v/>
      </c>
      <c r="K185" s="190" t="str">
        <f>IFERROR(_xlfn.XLOOKUP($A185,Input_Raw!$A:$A,Input_Raw!$DB:$DB),"")</f>
        <v/>
      </c>
      <c r="L185" s="190" t="str">
        <f>IFERROR(_xlfn.XLOOKUP($A185,Input_Raw!$A:$A,Input_Raw!$DC:$DC),"")</f>
        <v/>
      </c>
      <c r="M185" s="189" t="str">
        <f>IFERROR(_xlfn.XLOOKUP($A185,Input_Raw!$A:$A,Input_Raw!$DF:$DF),"")</f>
        <v/>
      </c>
      <c r="N185" s="189" t="str">
        <f>IFERROR(_xlfn.XLOOKUP($A185,Input_Raw!$A:$A,Input_Raw!$DG:$DG),"")</f>
        <v/>
      </c>
      <c r="O185" s="219" t="str">
        <f>IFERROR(1-(SUMIF(Plant_BD!$B:$B,$A185,Plant_BD!$AL:$AL)/($AA185+SUMIF(Plant_BD!$B:$B,$A185,Plant_BD!$AL:$AL))),"")</f>
        <v/>
      </c>
      <c r="P185" s="219"/>
      <c r="Q185" s="220" t="str">
        <f>IFERROR(1-(SUMIF(Grid_BD!$B:$B,$A185,Grid_BD!$V:$V)/($AA185+SUMIF(Grid_BD!$B:$B,$A185,Grid_BD!$V:$V))),"")</f>
        <v/>
      </c>
      <c r="R185" s="219" t="str">
        <f>IFERROR(1-(SUMIF(Grid_BD!$B:$B,$A185,Grid_BD!$V:$V)/($AA185+SUMIF(Grid_BD!$B:$B,$A185,Grid_BD!$V:$V))),"")</f>
        <v/>
      </c>
      <c r="S185" s="9"/>
      <c r="T185" s="220"/>
      <c r="U185" s="221" t="str">
        <f t="shared" si="16"/>
        <v/>
      </c>
      <c r="V185" s="221" t="str">
        <f>IFERROR(_xlfn.XLOOKUP($A185,Input_Raw!$A:$A,Input_Raw!$FG:$FG),"")</f>
        <v/>
      </c>
      <c r="W185" s="222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78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22">
        <f>IFERROR(_xlfn.XLOOKUP($D185,'Modelling New'!$D:$D,'Modelling New'!O:O),"")</f>
        <v>0.84314233235469738</v>
      </c>
      <c r="AF185" s="222">
        <f>IFERROR(_xlfn.XLOOKUP($D185,'Modelling New'!$D:$D,'Modelling New'!W:W),"")</f>
        <v>0.17624016808247492</v>
      </c>
      <c r="AG185" s="222">
        <f>IFERROR(_xlfn.XLOOKUP($D185,'Modelling New'!$D:$D,'Modelling New'!AE:AE),"")</f>
        <v>0.995</v>
      </c>
      <c r="AH185" s="222">
        <f>IFERROR(_xlfn.XLOOKUP($D185,'Modelling New'!$D:$D,'Modelling New'!AF:AF),"")</f>
        <v>0.995</v>
      </c>
      <c r="AI185" s="9"/>
      <c r="AJ185" s="9"/>
      <c r="AK185" s="245"/>
      <c r="AL185" s="245"/>
      <c r="AM185" s="245"/>
      <c r="AN185" s="219"/>
      <c r="AO185" s="222"/>
      <c r="AP185" s="222"/>
      <c r="AQ185" s="222"/>
      <c r="AR185" s="223">
        <f>_xlfn.XLOOKUP(D185,'Modelling New'!$D:$D,'Modelling New'!$N:$N)</f>
        <v>130</v>
      </c>
      <c r="AS185" s="223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18">
        <f>Table13[[#This Row],[Date]]-DAY(Table13[[#This Row],[Date]])+1</f>
        <v>45901</v>
      </c>
      <c r="E186" s="9">
        <f t="shared" si="15"/>
        <v>30</v>
      </c>
      <c r="F186" s="188" t="str">
        <f>IFERROR(_xlfn.XLOOKUP($A186,Input_Raw!$A:$A,Input_Raw!$FC:$FC),"")</f>
        <v/>
      </c>
      <c r="G186" s="189" t="str">
        <f>IFERROR(_xlfn.XLOOKUP($A186,Input_Raw!$A:$A,Input_Raw!$CY:$CY),"")</f>
        <v/>
      </c>
      <c r="H186" s="189" t="str">
        <f>IFERROR(_xlfn.XLOOKUP($A186,Input_Raw!$A:$A,Input_Raw!$DA:$DA),"")</f>
        <v/>
      </c>
      <c r="I186" s="189" t="str">
        <f>IFERROR(_xlfn.XLOOKUP($A186,Input_Raw!$A:$A,Input_Raw!$CX:$CX),"")</f>
        <v/>
      </c>
      <c r="J186" s="189" t="str">
        <f>IFERROR(_xlfn.XLOOKUP($A186,Input_Raw!$A:$A,Input_Raw!$CZ:$CZ),"")</f>
        <v/>
      </c>
      <c r="K186" s="190" t="str">
        <f>IFERROR(_xlfn.XLOOKUP($A186,Input_Raw!$A:$A,Input_Raw!$DB:$DB),"")</f>
        <v/>
      </c>
      <c r="L186" s="190" t="str">
        <f>IFERROR(_xlfn.XLOOKUP($A186,Input_Raw!$A:$A,Input_Raw!$DC:$DC),"")</f>
        <v/>
      </c>
      <c r="M186" s="189" t="str">
        <f>IFERROR(_xlfn.XLOOKUP($A186,Input_Raw!$A:$A,Input_Raw!$DF:$DF),"")</f>
        <v/>
      </c>
      <c r="N186" s="189" t="str">
        <f>IFERROR(_xlfn.XLOOKUP($A186,Input_Raw!$A:$A,Input_Raw!$DG:$DG),"")</f>
        <v/>
      </c>
      <c r="O186" s="219" t="str">
        <f>IFERROR(1-(SUMIF(Plant_BD!$B:$B,$A186,Plant_BD!$AL:$AL)/($AA186+SUMIF(Plant_BD!$B:$B,$A186,Plant_BD!$AL:$AL))),"")</f>
        <v/>
      </c>
      <c r="P186" s="219"/>
      <c r="Q186" s="220" t="str">
        <f>IFERROR(1-(SUMIF(Grid_BD!$B:$B,$A186,Grid_BD!$V:$V)/($AA186+SUMIF(Grid_BD!$B:$B,$A186,Grid_BD!$V:$V))),"")</f>
        <v/>
      </c>
      <c r="R186" s="219" t="str">
        <f>IFERROR(1-(SUMIF(Grid_BD!$B:$B,$A186,Grid_BD!$V:$V)/($AA186+SUMIF(Grid_BD!$B:$B,$A186,Grid_BD!$V:$V))),"")</f>
        <v/>
      </c>
      <c r="S186" s="9"/>
      <c r="T186" s="220"/>
      <c r="U186" s="221" t="str">
        <f t="shared" si="16"/>
        <v/>
      </c>
      <c r="V186" s="221" t="str">
        <f>IFERROR(_xlfn.XLOOKUP($A186,Input_Raw!$A:$A,Input_Raw!$FG:$FG),"")</f>
        <v/>
      </c>
      <c r="W186" s="222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78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22">
        <f>IFERROR(_xlfn.XLOOKUP($D186,'Modelling New'!$D:$D,'Modelling New'!O:O),"")</f>
        <v>0.84314233235469738</v>
      </c>
      <c r="AF186" s="222">
        <f>IFERROR(_xlfn.XLOOKUP($D186,'Modelling New'!$D:$D,'Modelling New'!W:W),"")</f>
        <v>0.17624016808247492</v>
      </c>
      <c r="AG186" s="222">
        <f>IFERROR(_xlfn.XLOOKUP($D186,'Modelling New'!$D:$D,'Modelling New'!AE:AE),"")</f>
        <v>0.995</v>
      </c>
      <c r="AH186" s="222">
        <f>IFERROR(_xlfn.XLOOKUP($D186,'Modelling New'!$D:$D,'Modelling New'!AF:AF),"")</f>
        <v>0.995</v>
      </c>
      <c r="AI186" s="9"/>
      <c r="AJ186" s="9"/>
      <c r="AK186" s="245"/>
      <c r="AL186" s="245"/>
      <c r="AM186" s="245"/>
      <c r="AN186" s="219"/>
      <c r="AO186" s="222"/>
      <c r="AP186" s="222"/>
      <c r="AQ186" s="222"/>
      <c r="AR186" s="223">
        <f>_xlfn.XLOOKUP(D186,'Modelling New'!$D:$D,'Modelling New'!$N:$N)</f>
        <v>130</v>
      </c>
      <c r="AS186" s="223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18">
        <f>Table13[[#This Row],[Date]]-DAY(Table13[[#This Row],[Date]])+1</f>
        <v>45901</v>
      </c>
      <c r="E187" s="9">
        <f t="shared" si="15"/>
        <v>30</v>
      </c>
      <c r="F187" s="188" t="str">
        <f>IFERROR(_xlfn.XLOOKUP($A187,Input_Raw!$A:$A,Input_Raw!$FC:$FC),"")</f>
        <v/>
      </c>
      <c r="G187" s="178" t="str">
        <f>IFERROR(_xlfn.XLOOKUP($A187,Input_Raw!$A:$A,Input_Raw!$CY:$CY),"")</f>
        <v/>
      </c>
      <c r="H187" s="178" t="str">
        <f>IFERROR(_xlfn.XLOOKUP($A187,Input_Raw!$A:$A,Input_Raw!$DA:$DA),"")</f>
        <v/>
      </c>
      <c r="I187" s="178" t="str">
        <f>IFERROR(_xlfn.XLOOKUP($A187,Input_Raw!$A:$A,Input_Raw!$CX:$CX),"")</f>
        <v/>
      </c>
      <c r="J187" s="178" t="str">
        <f>IFERROR(_xlfn.XLOOKUP($A187,Input_Raw!$A:$A,Input_Raw!$CZ:$CZ),"")</f>
        <v/>
      </c>
      <c r="K187" s="190" t="str">
        <f>IFERROR(_xlfn.XLOOKUP($A187,Input_Raw!$A:$A,Input_Raw!$DB:$DB),"")</f>
        <v/>
      </c>
      <c r="L187" s="190" t="str">
        <f>IFERROR(_xlfn.XLOOKUP($A187,Input_Raw!$A:$A,Input_Raw!$DC:$DC),"")</f>
        <v/>
      </c>
      <c r="M187" s="189" t="str">
        <f>IFERROR(_xlfn.XLOOKUP($A187,Input_Raw!$A:$A,Input_Raw!$DF:$DF),"")</f>
        <v/>
      </c>
      <c r="N187" s="189" t="str">
        <f>IFERROR(_xlfn.XLOOKUP($A187,Input_Raw!$A:$A,Input_Raw!$DG:$DG),"")</f>
        <v/>
      </c>
      <c r="O187" s="219" t="str">
        <f>IFERROR(1-(SUMIF(Plant_BD!$B:$B,$A187,Plant_BD!$AL:$AL)/($AA187+SUMIF(Plant_BD!$B:$B,$A187,Plant_BD!$AL:$AL))),"")</f>
        <v/>
      </c>
      <c r="P187" s="219"/>
      <c r="Q187" s="220" t="str">
        <f>IFERROR(1-(SUMIF(Grid_BD!$B:$B,$A187,Grid_BD!$V:$V)/($AA187+SUMIF(Grid_BD!$B:$B,$A187,Grid_BD!$V:$V))),"")</f>
        <v/>
      </c>
      <c r="R187" s="219" t="str">
        <f>IFERROR(1-(SUMIF(Grid_BD!$B:$B,$A187,Grid_BD!$V:$V)/($AA187+SUMIF(Grid_BD!$B:$B,$A187,Grid_BD!$V:$V))),"")</f>
        <v/>
      </c>
      <c r="S187" s="9"/>
      <c r="T187" s="220"/>
      <c r="U187" s="221" t="str">
        <f t="shared" si="16"/>
        <v/>
      </c>
      <c r="V187" s="221" t="str">
        <f>IFERROR(_xlfn.XLOOKUP($A187,Input_Raw!$A:$A,Input_Raw!$FG:$FG),"")</f>
        <v/>
      </c>
      <c r="W187" s="222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78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22">
        <f>IFERROR(_xlfn.XLOOKUP($D187,'Modelling New'!$D:$D,'Modelling New'!O:O),"")</f>
        <v>0.84314233235469738</v>
      </c>
      <c r="AF187" s="222">
        <f>IFERROR(_xlfn.XLOOKUP($D187,'Modelling New'!$D:$D,'Modelling New'!W:W),"")</f>
        <v>0.17624016808247492</v>
      </c>
      <c r="AG187" s="222">
        <f>IFERROR(_xlfn.XLOOKUP($D187,'Modelling New'!$D:$D,'Modelling New'!AE:AE),"")</f>
        <v>0.995</v>
      </c>
      <c r="AH187" s="222">
        <f>IFERROR(_xlfn.XLOOKUP($D187,'Modelling New'!$D:$D,'Modelling New'!AF:AF),"")</f>
        <v>0.995</v>
      </c>
      <c r="AI187" s="9"/>
      <c r="AJ187" s="9"/>
      <c r="AK187" s="245"/>
      <c r="AL187" s="245"/>
      <c r="AM187" s="245"/>
      <c r="AN187" s="219"/>
      <c r="AO187" s="222"/>
      <c r="AP187" s="222"/>
      <c r="AQ187" s="222"/>
      <c r="AR187" s="223">
        <f>_xlfn.XLOOKUP(D187,'Modelling New'!$D:$D,'Modelling New'!$N:$N)</f>
        <v>130</v>
      </c>
      <c r="AS187" s="223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18">
        <f>Table13[[#This Row],[Date]]-DAY(Table13[[#This Row],[Date]])+1</f>
        <v>45931</v>
      </c>
      <c r="E188" s="9">
        <f t="shared" si="15"/>
        <v>31</v>
      </c>
      <c r="F188" s="188" t="str">
        <f>IFERROR(_xlfn.XLOOKUP($A188,Input_Raw!$A:$A,Input_Raw!$FC:$FC),"")</f>
        <v/>
      </c>
      <c r="G188" s="189" t="str">
        <f>IFERROR(_xlfn.XLOOKUP($A188,Input_Raw!$A:$A,Input_Raw!$CY:$CY),"")</f>
        <v/>
      </c>
      <c r="H188" s="189" t="str">
        <f>IFERROR(_xlfn.XLOOKUP($A188,Input_Raw!$A:$A,Input_Raw!$DA:$DA),"")</f>
        <v/>
      </c>
      <c r="I188" s="189" t="str">
        <f>IFERROR(_xlfn.XLOOKUP($A188,Input_Raw!$A:$A,Input_Raw!$CX:$CX),"")</f>
        <v/>
      </c>
      <c r="J188" s="189" t="str">
        <f>IFERROR(_xlfn.XLOOKUP($A188,Input_Raw!$A:$A,Input_Raw!$CZ:$CZ),"")</f>
        <v/>
      </c>
      <c r="K188" s="190" t="str">
        <f>IFERROR(_xlfn.XLOOKUP($A188,Input_Raw!$A:$A,Input_Raw!$DB:$DB),"")</f>
        <v/>
      </c>
      <c r="L188" s="190" t="str">
        <f>IFERROR(_xlfn.XLOOKUP($A188,Input_Raw!$A:$A,Input_Raw!$DC:$DC),"")</f>
        <v/>
      </c>
      <c r="M188" s="189" t="str">
        <f>IFERROR(_xlfn.XLOOKUP($A188,Input_Raw!$A:$A,Input_Raw!$DF:$DF),"")</f>
        <v/>
      </c>
      <c r="N188" s="189" t="str">
        <f>IFERROR(_xlfn.XLOOKUP($A188,Input_Raw!$A:$A,Input_Raw!$DG:$DG),"")</f>
        <v/>
      </c>
      <c r="O188" s="219" t="str">
        <f>IFERROR(1-(SUMIF(Plant_BD!$B:$B,$A188,Plant_BD!$AL:$AL)/($AA188+SUMIF(Plant_BD!$B:$B,$A188,Plant_BD!$AL:$AL))),"")</f>
        <v/>
      </c>
      <c r="P188" s="219"/>
      <c r="Q188" s="220" t="str">
        <f>IFERROR(1-(SUMIF(Grid_BD!$B:$B,$A188,Grid_BD!$V:$V)/($AA188+SUMIF(Grid_BD!$B:$B,$A188,Grid_BD!$V:$V))),"")</f>
        <v/>
      </c>
      <c r="R188" s="219" t="str">
        <f>IFERROR(1-(SUMIF(Grid_BD!$B:$B,$A188,Grid_BD!$V:$V)/($AA188+SUMIF(Grid_BD!$B:$B,$A188,Grid_BD!$V:$V))),"")</f>
        <v/>
      </c>
      <c r="S188" s="9"/>
      <c r="T188" s="220"/>
      <c r="U188" s="221" t="str">
        <f t="shared" si="16"/>
        <v/>
      </c>
      <c r="V188" s="221" t="str">
        <f>IFERROR(_xlfn.XLOOKUP($A188,Input_Raw!$A:$A,Input_Raw!$FG:$FG),"")</f>
        <v/>
      </c>
      <c r="W188" s="222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78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22">
        <f>IFERROR(_xlfn.XLOOKUP($D188,'Modelling New'!$D:$D,'Modelling New'!O:O),"")</f>
        <v>0.83889907823519261</v>
      </c>
      <c r="AF188" s="222">
        <f>IFERROR(_xlfn.XLOOKUP($D188,'Modelling New'!$D:$D,'Modelling New'!W:W),"")</f>
        <v>0.20363598592644594</v>
      </c>
      <c r="AG188" s="222">
        <f>IFERROR(_xlfn.XLOOKUP($D188,'Modelling New'!$D:$D,'Modelling New'!AE:AE),"")</f>
        <v>0.995</v>
      </c>
      <c r="AH188" s="222">
        <f>IFERROR(_xlfn.XLOOKUP($D188,'Modelling New'!$D:$D,'Modelling New'!AF:AF),"")</f>
        <v>0.995</v>
      </c>
      <c r="AI188" s="9"/>
      <c r="AJ188" s="9"/>
      <c r="AK188" s="245"/>
      <c r="AL188" s="245"/>
      <c r="AM188" s="245"/>
      <c r="AN188" s="219"/>
      <c r="AO188" s="222"/>
      <c r="AP188" s="222"/>
      <c r="AQ188" s="222"/>
      <c r="AR188" s="223">
        <f>_xlfn.XLOOKUP(D188,'Modelling New'!$D:$D,'Modelling New'!$N:$N)</f>
        <v>130</v>
      </c>
      <c r="AS188" s="223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18">
        <f>Table13[[#This Row],[Date]]-DAY(Table13[[#This Row],[Date]])+1</f>
        <v>45931</v>
      </c>
      <c r="E189" s="9">
        <f t="shared" si="15"/>
        <v>31</v>
      </c>
      <c r="F189" s="188" t="str">
        <f>IFERROR(_xlfn.XLOOKUP($A189,Input_Raw!$A:$A,Input_Raw!$FC:$FC),"")</f>
        <v/>
      </c>
      <c r="G189" s="178" t="str">
        <f>IFERROR(_xlfn.XLOOKUP($A189,Input_Raw!$A:$A,Input_Raw!$CY:$CY),"")</f>
        <v/>
      </c>
      <c r="H189" s="178" t="str">
        <f>IFERROR(_xlfn.XLOOKUP($A189,Input_Raw!$A:$A,Input_Raw!$DA:$DA),"")</f>
        <v/>
      </c>
      <c r="I189" s="178" t="str">
        <f>IFERROR(_xlfn.XLOOKUP($A189,Input_Raw!$A:$A,Input_Raw!$CX:$CX),"")</f>
        <v/>
      </c>
      <c r="J189" s="178" t="str">
        <f>IFERROR(_xlfn.XLOOKUP($A189,Input_Raw!$A:$A,Input_Raw!$CZ:$CZ),"")</f>
        <v/>
      </c>
      <c r="K189" s="190" t="str">
        <f>IFERROR(_xlfn.XLOOKUP($A189,Input_Raw!$A:$A,Input_Raw!$DB:$DB),"")</f>
        <v/>
      </c>
      <c r="L189" s="190" t="str">
        <f>IFERROR(_xlfn.XLOOKUP($A189,Input_Raw!$A:$A,Input_Raw!$DC:$DC),"")</f>
        <v/>
      </c>
      <c r="M189" s="189" t="str">
        <f>IFERROR(_xlfn.XLOOKUP($A189,Input_Raw!$A:$A,Input_Raw!$DF:$DF),"")</f>
        <v/>
      </c>
      <c r="N189" s="189" t="str">
        <f>IFERROR(_xlfn.XLOOKUP($A189,Input_Raw!$A:$A,Input_Raw!$DG:$DG),"")</f>
        <v/>
      </c>
      <c r="O189" s="219" t="str">
        <f>IFERROR(1-(SUMIF(Plant_BD!$B:$B,$A189,Plant_BD!$AL:$AL)/($AA189+SUMIF(Plant_BD!$B:$B,$A189,Plant_BD!$AL:$AL))),"")</f>
        <v/>
      </c>
      <c r="P189" s="219"/>
      <c r="Q189" s="220" t="str">
        <f>IFERROR(1-(SUMIF(Grid_BD!$B:$B,$A189,Grid_BD!$V:$V)/($AA189+SUMIF(Grid_BD!$B:$B,$A189,Grid_BD!$V:$V))),"")</f>
        <v/>
      </c>
      <c r="R189" s="219" t="str">
        <f>IFERROR(1-(SUMIF(Grid_BD!$B:$B,$A189,Grid_BD!$V:$V)/($AA189+SUMIF(Grid_BD!$B:$B,$A189,Grid_BD!$V:$V))),"")</f>
        <v/>
      </c>
      <c r="S189" s="9"/>
      <c r="T189" s="220"/>
      <c r="U189" s="221" t="str">
        <f t="shared" si="16"/>
        <v/>
      </c>
      <c r="V189" s="221" t="str">
        <f>IFERROR(_xlfn.XLOOKUP($A189,Input_Raw!$A:$A,Input_Raw!$FG:$FG),"")</f>
        <v/>
      </c>
      <c r="W189" s="222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78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22">
        <f>IFERROR(_xlfn.XLOOKUP($D189,'Modelling New'!$D:$D,'Modelling New'!O:O),"")</f>
        <v>0.83889907823519261</v>
      </c>
      <c r="AF189" s="222">
        <f>IFERROR(_xlfn.XLOOKUP($D189,'Modelling New'!$D:$D,'Modelling New'!W:W),"")</f>
        <v>0.20363598592644594</v>
      </c>
      <c r="AG189" s="222">
        <f>IFERROR(_xlfn.XLOOKUP($D189,'Modelling New'!$D:$D,'Modelling New'!AE:AE),"")</f>
        <v>0.995</v>
      </c>
      <c r="AH189" s="222">
        <f>IFERROR(_xlfn.XLOOKUP($D189,'Modelling New'!$D:$D,'Modelling New'!AF:AF),"")</f>
        <v>0.995</v>
      </c>
      <c r="AI189" s="9"/>
      <c r="AJ189" s="9"/>
      <c r="AK189" s="245"/>
      <c r="AL189" s="245"/>
      <c r="AM189" s="245"/>
      <c r="AN189" s="219"/>
      <c r="AO189" s="222"/>
      <c r="AP189" s="222"/>
      <c r="AQ189" s="222"/>
      <c r="AR189" s="223">
        <f>_xlfn.XLOOKUP(D189,'Modelling New'!$D:$D,'Modelling New'!$N:$N)</f>
        <v>130</v>
      </c>
      <c r="AS189" s="223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18">
        <f>Table13[[#This Row],[Date]]-DAY(Table13[[#This Row],[Date]])+1</f>
        <v>45931</v>
      </c>
      <c r="E190" s="9">
        <f t="shared" si="15"/>
        <v>31</v>
      </c>
      <c r="F190" s="188" t="str">
        <f>IFERROR(_xlfn.XLOOKUP($A190,Input_Raw!$A:$A,Input_Raw!$FC:$FC),"")</f>
        <v/>
      </c>
      <c r="G190" s="189" t="str">
        <f>IFERROR(_xlfn.XLOOKUP($A190,Input_Raw!$A:$A,Input_Raw!$CY:$CY),"")</f>
        <v/>
      </c>
      <c r="H190" s="189" t="str">
        <f>IFERROR(_xlfn.XLOOKUP($A190,Input_Raw!$A:$A,Input_Raw!$DA:$DA),"")</f>
        <v/>
      </c>
      <c r="I190" s="189" t="str">
        <f>IFERROR(_xlfn.XLOOKUP($A190,Input_Raw!$A:$A,Input_Raw!$CX:$CX),"")</f>
        <v/>
      </c>
      <c r="J190" s="189" t="str">
        <f>IFERROR(_xlfn.XLOOKUP($A190,Input_Raw!$A:$A,Input_Raw!$CZ:$CZ),"")</f>
        <v/>
      </c>
      <c r="K190" s="190" t="str">
        <f>IFERROR(_xlfn.XLOOKUP($A190,Input_Raw!$A:$A,Input_Raw!$DB:$DB),"")</f>
        <v/>
      </c>
      <c r="L190" s="190" t="str">
        <f>IFERROR(_xlfn.XLOOKUP($A190,Input_Raw!$A:$A,Input_Raw!$DC:$DC),"")</f>
        <v/>
      </c>
      <c r="M190" s="189" t="str">
        <f>IFERROR(_xlfn.XLOOKUP($A190,Input_Raw!$A:$A,Input_Raw!$DF:$DF),"")</f>
        <v/>
      </c>
      <c r="N190" s="189" t="str">
        <f>IFERROR(_xlfn.XLOOKUP($A190,Input_Raw!$A:$A,Input_Raw!$DG:$DG),"")</f>
        <v/>
      </c>
      <c r="O190" s="219" t="str">
        <f>IFERROR(1-(SUMIF(Plant_BD!$B:$B,$A190,Plant_BD!$AL:$AL)/($AA190+SUMIF(Plant_BD!$B:$B,$A190,Plant_BD!$AL:$AL))),"")</f>
        <v/>
      </c>
      <c r="P190" s="219"/>
      <c r="Q190" s="220" t="str">
        <f>IFERROR(1-(SUMIF(Grid_BD!$B:$B,$A190,Grid_BD!$V:$V)/($AA190+SUMIF(Grid_BD!$B:$B,$A190,Grid_BD!$V:$V))),"")</f>
        <v/>
      </c>
      <c r="R190" s="219" t="str">
        <f>IFERROR(1-(SUMIF(Grid_BD!$B:$B,$A190,Grid_BD!$V:$V)/($AA190+SUMIF(Grid_BD!$B:$B,$A190,Grid_BD!$V:$V))),"")</f>
        <v/>
      </c>
      <c r="S190" s="9"/>
      <c r="T190" s="220"/>
      <c r="U190" s="221" t="str">
        <f t="shared" si="16"/>
        <v/>
      </c>
      <c r="V190" s="221" t="str">
        <f>IFERROR(_xlfn.XLOOKUP($A190,Input_Raw!$A:$A,Input_Raw!$FG:$FG),"")</f>
        <v/>
      </c>
      <c r="W190" s="222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78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22">
        <f>IFERROR(_xlfn.XLOOKUP($D190,'Modelling New'!$D:$D,'Modelling New'!O:O),"")</f>
        <v>0.83889907823519261</v>
      </c>
      <c r="AF190" s="222">
        <f>IFERROR(_xlfn.XLOOKUP($D190,'Modelling New'!$D:$D,'Modelling New'!W:W),"")</f>
        <v>0.20363598592644594</v>
      </c>
      <c r="AG190" s="222">
        <f>IFERROR(_xlfn.XLOOKUP($D190,'Modelling New'!$D:$D,'Modelling New'!AE:AE),"")</f>
        <v>0.995</v>
      </c>
      <c r="AH190" s="222">
        <f>IFERROR(_xlfn.XLOOKUP($D190,'Modelling New'!$D:$D,'Modelling New'!AF:AF),"")</f>
        <v>0.995</v>
      </c>
      <c r="AI190" s="9"/>
      <c r="AJ190" s="9"/>
      <c r="AK190" s="245"/>
      <c r="AL190" s="245"/>
      <c r="AM190" s="245"/>
      <c r="AN190" s="219"/>
      <c r="AO190" s="222"/>
      <c r="AP190" s="222"/>
      <c r="AQ190" s="222"/>
      <c r="AR190" s="223">
        <f>_xlfn.XLOOKUP(D190,'Modelling New'!$D:$D,'Modelling New'!$N:$N)</f>
        <v>130</v>
      </c>
      <c r="AS190" s="223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18">
        <f>Table13[[#This Row],[Date]]-DAY(Table13[[#This Row],[Date]])+1</f>
        <v>45931</v>
      </c>
      <c r="E191" s="9">
        <f t="shared" si="15"/>
        <v>31</v>
      </c>
      <c r="F191" s="188" t="str">
        <f>IFERROR(_xlfn.XLOOKUP($A191,Input_Raw!$A:$A,Input_Raw!$FC:$FC),"")</f>
        <v/>
      </c>
      <c r="G191" s="178" t="str">
        <f>IFERROR(_xlfn.XLOOKUP($A191,Input_Raw!$A:$A,Input_Raw!$CY:$CY),"")</f>
        <v/>
      </c>
      <c r="H191" s="178" t="str">
        <f>IFERROR(_xlfn.XLOOKUP($A191,Input_Raw!$A:$A,Input_Raw!$DA:$DA),"")</f>
        <v/>
      </c>
      <c r="I191" s="178" t="str">
        <f>IFERROR(_xlfn.XLOOKUP($A191,Input_Raw!$A:$A,Input_Raw!$CX:$CX),"")</f>
        <v/>
      </c>
      <c r="J191" s="178" t="str">
        <f>IFERROR(_xlfn.XLOOKUP($A191,Input_Raw!$A:$A,Input_Raw!$CZ:$CZ),"")</f>
        <v/>
      </c>
      <c r="K191" s="190" t="str">
        <f>IFERROR(_xlfn.XLOOKUP($A191,Input_Raw!$A:$A,Input_Raw!$DB:$DB),"")</f>
        <v/>
      </c>
      <c r="L191" s="190" t="str">
        <f>IFERROR(_xlfn.XLOOKUP($A191,Input_Raw!$A:$A,Input_Raw!$DC:$DC),"")</f>
        <v/>
      </c>
      <c r="M191" s="189" t="str">
        <f>IFERROR(_xlfn.XLOOKUP($A191,Input_Raw!$A:$A,Input_Raw!$DF:$DF),"")</f>
        <v/>
      </c>
      <c r="N191" s="189" t="str">
        <f>IFERROR(_xlfn.XLOOKUP($A191,Input_Raw!$A:$A,Input_Raw!$DG:$DG),"")</f>
        <v/>
      </c>
      <c r="O191" s="219" t="str">
        <f>IFERROR(1-(SUMIF(Plant_BD!$B:$B,$A191,Plant_BD!$AL:$AL)/($AA191+SUMIF(Plant_BD!$B:$B,$A191,Plant_BD!$AL:$AL))),"")</f>
        <v/>
      </c>
      <c r="P191" s="219"/>
      <c r="Q191" s="220" t="str">
        <f>IFERROR(1-(SUMIF(Grid_BD!$B:$B,$A191,Grid_BD!$V:$V)/($AA191+SUMIF(Grid_BD!$B:$B,$A191,Grid_BD!$V:$V))),"")</f>
        <v/>
      </c>
      <c r="R191" s="219" t="str">
        <f>IFERROR(1-(SUMIF(Grid_BD!$B:$B,$A191,Grid_BD!$V:$V)/($AA191+SUMIF(Grid_BD!$B:$B,$A191,Grid_BD!$V:$V))),"")</f>
        <v/>
      </c>
      <c r="S191" s="9"/>
      <c r="T191" s="220"/>
      <c r="U191" s="221" t="str">
        <f t="shared" si="16"/>
        <v/>
      </c>
      <c r="V191" s="221" t="str">
        <f>IFERROR(_xlfn.XLOOKUP($A191,Input_Raw!$A:$A,Input_Raw!$FG:$FG),"")</f>
        <v/>
      </c>
      <c r="W191" s="222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78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22">
        <f>IFERROR(_xlfn.XLOOKUP($D191,'Modelling New'!$D:$D,'Modelling New'!O:O),"")</f>
        <v>0.83889907823519261</v>
      </c>
      <c r="AF191" s="222">
        <f>IFERROR(_xlfn.XLOOKUP($D191,'Modelling New'!$D:$D,'Modelling New'!W:W),"")</f>
        <v>0.20363598592644594</v>
      </c>
      <c r="AG191" s="222">
        <f>IFERROR(_xlfn.XLOOKUP($D191,'Modelling New'!$D:$D,'Modelling New'!AE:AE),"")</f>
        <v>0.995</v>
      </c>
      <c r="AH191" s="222">
        <f>IFERROR(_xlfn.XLOOKUP($D191,'Modelling New'!$D:$D,'Modelling New'!AF:AF),"")</f>
        <v>0.995</v>
      </c>
      <c r="AI191" s="9"/>
      <c r="AJ191" s="9"/>
      <c r="AK191" s="245"/>
      <c r="AL191" s="245"/>
      <c r="AM191" s="245"/>
      <c r="AN191" s="219"/>
      <c r="AO191" s="222"/>
      <c r="AP191" s="222"/>
      <c r="AQ191" s="222"/>
      <c r="AR191" s="223">
        <f>_xlfn.XLOOKUP(D191,'Modelling New'!$D:$D,'Modelling New'!$N:$N)</f>
        <v>130</v>
      </c>
      <c r="AS191" s="223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18">
        <f>Table13[[#This Row],[Date]]-DAY(Table13[[#This Row],[Date]])+1</f>
        <v>45931</v>
      </c>
      <c r="E192" s="9">
        <f t="shared" si="15"/>
        <v>31</v>
      </c>
      <c r="F192" s="188" t="str">
        <f>IFERROR(_xlfn.XLOOKUP($A192,Input_Raw!$A:$A,Input_Raw!$FC:$FC),"")</f>
        <v/>
      </c>
      <c r="G192" s="189" t="str">
        <f>IFERROR(_xlfn.XLOOKUP($A192,Input_Raw!$A:$A,Input_Raw!$CY:$CY),"")</f>
        <v/>
      </c>
      <c r="H192" s="189" t="str">
        <f>IFERROR(_xlfn.XLOOKUP($A192,Input_Raw!$A:$A,Input_Raw!$DA:$DA),"")</f>
        <v/>
      </c>
      <c r="I192" s="189" t="str">
        <f>IFERROR(_xlfn.XLOOKUP($A192,Input_Raw!$A:$A,Input_Raw!$CX:$CX),"")</f>
        <v/>
      </c>
      <c r="J192" s="189" t="str">
        <f>IFERROR(_xlfn.XLOOKUP($A192,Input_Raw!$A:$A,Input_Raw!$CZ:$CZ),"")</f>
        <v/>
      </c>
      <c r="K192" s="190" t="str">
        <f>IFERROR(_xlfn.XLOOKUP($A192,Input_Raw!$A:$A,Input_Raw!$DB:$DB),"")</f>
        <v/>
      </c>
      <c r="L192" s="190" t="str">
        <f>IFERROR(_xlfn.XLOOKUP($A192,Input_Raw!$A:$A,Input_Raw!$DC:$DC),"")</f>
        <v/>
      </c>
      <c r="M192" s="189" t="str">
        <f>IFERROR(_xlfn.XLOOKUP($A192,Input_Raw!$A:$A,Input_Raw!$DF:$DF),"")</f>
        <v/>
      </c>
      <c r="N192" s="189" t="str">
        <f>IFERROR(_xlfn.XLOOKUP($A192,Input_Raw!$A:$A,Input_Raw!$DG:$DG),"")</f>
        <v/>
      </c>
      <c r="O192" s="219" t="str">
        <f>IFERROR(1-(SUMIF(Plant_BD!$B:$B,$A192,Plant_BD!$AL:$AL)/($AA192+SUMIF(Plant_BD!$B:$B,$A192,Plant_BD!$AL:$AL))),"")</f>
        <v/>
      </c>
      <c r="P192" s="219"/>
      <c r="Q192" s="220" t="str">
        <f>IFERROR(1-(SUMIF(Grid_BD!$B:$B,$A192,Grid_BD!$V:$V)/($AA192+SUMIF(Grid_BD!$B:$B,$A192,Grid_BD!$V:$V))),"")</f>
        <v/>
      </c>
      <c r="R192" s="219" t="str">
        <f>IFERROR(1-(SUMIF(Grid_BD!$B:$B,$A192,Grid_BD!$V:$V)/($AA192+SUMIF(Grid_BD!$B:$B,$A192,Grid_BD!$V:$V))),"")</f>
        <v/>
      </c>
      <c r="S192" s="9"/>
      <c r="T192" s="220"/>
      <c r="U192" s="221" t="str">
        <f t="shared" si="16"/>
        <v/>
      </c>
      <c r="V192" s="221" t="str">
        <f>IFERROR(_xlfn.XLOOKUP($A192,Input_Raw!$A:$A,Input_Raw!$FG:$FG),"")</f>
        <v/>
      </c>
      <c r="W192" s="222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78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22">
        <f>IFERROR(_xlfn.XLOOKUP($D192,'Modelling New'!$D:$D,'Modelling New'!O:O),"")</f>
        <v>0.83889907823519261</v>
      </c>
      <c r="AF192" s="222">
        <f>IFERROR(_xlfn.XLOOKUP($D192,'Modelling New'!$D:$D,'Modelling New'!W:W),"")</f>
        <v>0.20363598592644594</v>
      </c>
      <c r="AG192" s="222">
        <f>IFERROR(_xlfn.XLOOKUP($D192,'Modelling New'!$D:$D,'Modelling New'!AE:AE),"")</f>
        <v>0.995</v>
      </c>
      <c r="AH192" s="222">
        <f>IFERROR(_xlfn.XLOOKUP($D192,'Modelling New'!$D:$D,'Modelling New'!AF:AF),"")</f>
        <v>0.995</v>
      </c>
      <c r="AI192" s="9"/>
      <c r="AJ192" s="9"/>
      <c r="AK192" s="245"/>
      <c r="AL192" s="245"/>
      <c r="AM192" s="245"/>
      <c r="AN192" s="219"/>
      <c r="AO192" s="222"/>
      <c r="AP192" s="222"/>
      <c r="AQ192" s="222"/>
      <c r="AR192" s="223">
        <f>_xlfn.XLOOKUP(D192,'Modelling New'!$D:$D,'Modelling New'!$N:$N)</f>
        <v>130</v>
      </c>
      <c r="AS192" s="223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18">
        <f>Table13[[#This Row],[Date]]-DAY(Table13[[#This Row],[Date]])+1</f>
        <v>45931</v>
      </c>
      <c r="E193" s="9">
        <f t="shared" si="15"/>
        <v>31</v>
      </c>
      <c r="F193" s="188" t="str">
        <f>IFERROR(_xlfn.XLOOKUP($A193,Input_Raw!$A:$A,Input_Raw!$FC:$FC),"")</f>
        <v/>
      </c>
      <c r="G193" s="178" t="str">
        <f>IFERROR(_xlfn.XLOOKUP($A193,Input_Raw!$A:$A,Input_Raw!$CY:$CY),"")</f>
        <v/>
      </c>
      <c r="H193" s="178" t="str">
        <f>IFERROR(_xlfn.XLOOKUP($A193,Input_Raw!$A:$A,Input_Raw!$DA:$DA),"")</f>
        <v/>
      </c>
      <c r="I193" s="178" t="str">
        <f>IFERROR(_xlfn.XLOOKUP($A193,Input_Raw!$A:$A,Input_Raw!$CX:$CX),"")</f>
        <v/>
      </c>
      <c r="J193" s="178" t="str">
        <f>IFERROR(_xlfn.XLOOKUP($A193,Input_Raw!$A:$A,Input_Raw!$CZ:$CZ),"")</f>
        <v/>
      </c>
      <c r="K193" s="190" t="str">
        <f>IFERROR(_xlfn.XLOOKUP($A193,Input_Raw!$A:$A,Input_Raw!$DB:$DB),"")</f>
        <v/>
      </c>
      <c r="L193" s="190" t="str">
        <f>IFERROR(_xlfn.XLOOKUP($A193,Input_Raw!$A:$A,Input_Raw!$DC:$DC),"")</f>
        <v/>
      </c>
      <c r="M193" s="189" t="str">
        <f>IFERROR(_xlfn.XLOOKUP($A193,Input_Raw!$A:$A,Input_Raw!$DF:$DF),"")</f>
        <v/>
      </c>
      <c r="N193" s="189" t="str">
        <f>IFERROR(_xlfn.XLOOKUP($A193,Input_Raw!$A:$A,Input_Raw!$DG:$DG),"")</f>
        <v/>
      </c>
      <c r="O193" s="219" t="str">
        <f>IFERROR(1-(SUMIF(Plant_BD!$B:$B,$A193,Plant_BD!$AL:$AL)/($AA193+SUMIF(Plant_BD!$B:$B,$A193,Plant_BD!$AL:$AL))),"")</f>
        <v/>
      </c>
      <c r="P193" s="219"/>
      <c r="Q193" s="220" t="str">
        <f>IFERROR(1-(SUMIF(Grid_BD!$B:$B,$A193,Grid_BD!$V:$V)/($AA193+SUMIF(Grid_BD!$B:$B,$A193,Grid_BD!$V:$V))),"")</f>
        <v/>
      </c>
      <c r="R193" s="219" t="str">
        <f>IFERROR(1-(SUMIF(Grid_BD!$B:$B,$A193,Grid_BD!$V:$V)/($AA193+SUMIF(Grid_BD!$B:$B,$A193,Grid_BD!$V:$V))),"")</f>
        <v/>
      </c>
      <c r="S193" s="9"/>
      <c r="T193" s="220"/>
      <c r="U193" s="221" t="str">
        <f t="shared" si="16"/>
        <v/>
      </c>
      <c r="V193" s="221" t="str">
        <f>IFERROR(_xlfn.XLOOKUP($A193,Input_Raw!$A:$A,Input_Raw!$FG:$FG),"")</f>
        <v/>
      </c>
      <c r="W193" s="222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78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22">
        <f>IFERROR(_xlfn.XLOOKUP($D193,'Modelling New'!$D:$D,'Modelling New'!O:O),"")</f>
        <v>0.83889907823519261</v>
      </c>
      <c r="AF193" s="222">
        <f>IFERROR(_xlfn.XLOOKUP($D193,'Modelling New'!$D:$D,'Modelling New'!W:W),"")</f>
        <v>0.20363598592644594</v>
      </c>
      <c r="AG193" s="222">
        <f>IFERROR(_xlfn.XLOOKUP($D193,'Modelling New'!$D:$D,'Modelling New'!AE:AE),"")</f>
        <v>0.995</v>
      </c>
      <c r="AH193" s="222">
        <f>IFERROR(_xlfn.XLOOKUP($D193,'Modelling New'!$D:$D,'Modelling New'!AF:AF),"")</f>
        <v>0.995</v>
      </c>
      <c r="AI193" s="9"/>
      <c r="AJ193" s="9"/>
      <c r="AK193" s="245"/>
      <c r="AL193" s="245"/>
      <c r="AM193" s="245"/>
      <c r="AN193" s="219"/>
      <c r="AO193" s="222"/>
      <c r="AP193" s="222"/>
      <c r="AQ193" s="222"/>
      <c r="AR193" s="223">
        <f>_xlfn.XLOOKUP(D193,'Modelling New'!$D:$D,'Modelling New'!$N:$N)</f>
        <v>130</v>
      </c>
      <c r="AS193" s="223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18">
        <f>Table13[[#This Row],[Date]]-DAY(Table13[[#This Row],[Date]])+1</f>
        <v>45931</v>
      </c>
      <c r="E194" s="9">
        <f t="shared" si="15"/>
        <v>31</v>
      </c>
      <c r="F194" s="188" t="str">
        <f>IFERROR(_xlfn.XLOOKUP($A194,Input_Raw!$A:$A,Input_Raw!$FC:$FC),"")</f>
        <v/>
      </c>
      <c r="G194" s="189" t="str">
        <f>IFERROR(_xlfn.XLOOKUP($A194,Input_Raw!$A:$A,Input_Raw!$CY:$CY),"")</f>
        <v/>
      </c>
      <c r="H194" s="189" t="str">
        <f>IFERROR(_xlfn.XLOOKUP($A194,Input_Raw!$A:$A,Input_Raw!$DA:$DA),"")</f>
        <v/>
      </c>
      <c r="I194" s="189" t="str">
        <f>IFERROR(_xlfn.XLOOKUP($A194,Input_Raw!$A:$A,Input_Raw!$CX:$CX),"")</f>
        <v/>
      </c>
      <c r="J194" s="189" t="str">
        <f>IFERROR(_xlfn.XLOOKUP($A194,Input_Raw!$A:$A,Input_Raw!$CZ:$CZ),"")</f>
        <v/>
      </c>
      <c r="K194" s="190" t="str">
        <f>IFERROR(_xlfn.XLOOKUP($A194,Input_Raw!$A:$A,Input_Raw!$DB:$DB),"")</f>
        <v/>
      </c>
      <c r="L194" s="190" t="str">
        <f>IFERROR(_xlfn.XLOOKUP($A194,Input_Raw!$A:$A,Input_Raw!$DC:$DC),"")</f>
        <v/>
      </c>
      <c r="M194" s="189" t="str">
        <f>IFERROR(_xlfn.XLOOKUP($A194,Input_Raw!$A:$A,Input_Raw!$DF:$DF),"")</f>
        <v/>
      </c>
      <c r="N194" s="189" t="str">
        <f>IFERROR(_xlfn.XLOOKUP($A194,Input_Raw!$A:$A,Input_Raw!$DG:$DG),"")</f>
        <v/>
      </c>
      <c r="O194" s="219" t="str">
        <f>IFERROR(1-(SUMIF(Plant_BD!$B:$B,$A194,Plant_BD!$AL:$AL)/($AA194+SUMIF(Plant_BD!$B:$B,$A194,Plant_BD!$AL:$AL))),"")</f>
        <v/>
      </c>
      <c r="P194" s="219"/>
      <c r="Q194" s="220" t="str">
        <f>IFERROR(1-(SUMIF(Grid_BD!$B:$B,$A194,Grid_BD!$V:$V)/($AA194+SUMIF(Grid_BD!$B:$B,$A194,Grid_BD!$V:$V))),"")</f>
        <v/>
      </c>
      <c r="R194" s="219" t="str">
        <f>IFERROR(1-(SUMIF(Grid_BD!$B:$B,$A194,Grid_BD!$V:$V)/($AA194+SUMIF(Grid_BD!$B:$B,$A194,Grid_BD!$V:$V))),"")</f>
        <v/>
      </c>
      <c r="S194" s="9"/>
      <c r="T194" s="220"/>
      <c r="U194" s="221" t="str">
        <f t="shared" si="16"/>
        <v/>
      </c>
      <c r="V194" s="221" t="str">
        <f>IFERROR(_xlfn.XLOOKUP($A194,Input_Raw!$A:$A,Input_Raw!$FG:$FG),"")</f>
        <v/>
      </c>
      <c r="W194" s="222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78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22">
        <f>IFERROR(_xlfn.XLOOKUP($D194,'Modelling New'!$D:$D,'Modelling New'!O:O),"")</f>
        <v>0.83889907823519261</v>
      </c>
      <c r="AF194" s="222">
        <f>IFERROR(_xlfn.XLOOKUP($D194,'Modelling New'!$D:$D,'Modelling New'!W:W),"")</f>
        <v>0.20363598592644594</v>
      </c>
      <c r="AG194" s="222">
        <f>IFERROR(_xlfn.XLOOKUP($D194,'Modelling New'!$D:$D,'Modelling New'!AE:AE),"")</f>
        <v>0.995</v>
      </c>
      <c r="AH194" s="222">
        <f>IFERROR(_xlfn.XLOOKUP($D194,'Modelling New'!$D:$D,'Modelling New'!AF:AF),"")</f>
        <v>0.995</v>
      </c>
      <c r="AI194" s="9"/>
      <c r="AJ194" s="9"/>
      <c r="AK194" s="245"/>
      <c r="AL194" s="245"/>
      <c r="AM194" s="245"/>
      <c r="AN194" s="219"/>
      <c r="AO194" s="222"/>
      <c r="AP194" s="222"/>
      <c r="AQ194" s="222"/>
      <c r="AR194" s="223">
        <f>_xlfn.XLOOKUP(D194,'Modelling New'!$D:$D,'Modelling New'!$N:$N)</f>
        <v>130</v>
      </c>
      <c r="AS194" s="223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18">
        <f>Table13[[#This Row],[Date]]-DAY(Table13[[#This Row],[Date]])+1</f>
        <v>45931</v>
      </c>
      <c r="E195" s="9">
        <f t="shared" si="15"/>
        <v>31</v>
      </c>
      <c r="F195" s="188" t="str">
        <f>IFERROR(_xlfn.XLOOKUP($A195,Input_Raw!$A:$A,Input_Raw!$FC:$FC),"")</f>
        <v/>
      </c>
      <c r="G195" s="178" t="str">
        <f>IFERROR(_xlfn.XLOOKUP($A195,Input_Raw!$A:$A,Input_Raw!$CY:$CY),"")</f>
        <v/>
      </c>
      <c r="H195" s="178" t="str">
        <f>IFERROR(_xlfn.XLOOKUP($A195,Input_Raw!$A:$A,Input_Raw!$DA:$DA),"")</f>
        <v/>
      </c>
      <c r="I195" s="178" t="str">
        <f>IFERROR(_xlfn.XLOOKUP($A195,Input_Raw!$A:$A,Input_Raw!$CX:$CX),"")</f>
        <v/>
      </c>
      <c r="J195" s="178" t="str">
        <f>IFERROR(_xlfn.XLOOKUP($A195,Input_Raw!$A:$A,Input_Raw!$CZ:$CZ),"")</f>
        <v/>
      </c>
      <c r="K195" s="190" t="str">
        <f>IFERROR(_xlfn.XLOOKUP($A195,Input_Raw!$A:$A,Input_Raw!$DB:$DB),"")</f>
        <v/>
      </c>
      <c r="L195" s="190" t="str">
        <f>IFERROR(_xlfn.XLOOKUP($A195,Input_Raw!$A:$A,Input_Raw!$DC:$DC),"")</f>
        <v/>
      </c>
      <c r="M195" s="189" t="str">
        <f>IFERROR(_xlfn.XLOOKUP($A195,Input_Raw!$A:$A,Input_Raw!$DF:$DF),"")</f>
        <v/>
      </c>
      <c r="N195" s="189" t="str">
        <f>IFERROR(_xlfn.XLOOKUP($A195,Input_Raw!$A:$A,Input_Raw!$DG:$DG),"")</f>
        <v/>
      </c>
      <c r="O195" s="219" t="str">
        <f>IFERROR(1-(SUMIF(Plant_BD!$B:$B,$A195,Plant_BD!$AL:$AL)/($AA195+SUMIF(Plant_BD!$B:$B,$A195,Plant_BD!$AL:$AL))),"")</f>
        <v/>
      </c>
      <c r="P195" s="219"/>
      <c r="Q195" s="220" t="str">
        <f>IFERROR(1-(SUMIF(Grid_BD!$B:$B,$A195,Grid_BD!$V:$V)/($AA195+SUMIF(Grid_BD!$B:$B,$A195,Grid_BD!$V:$V))),"")</f>
        <v/>
      </c>
      <c r="R195" s="219" t="str">
        <f>IFERROR(1-(SUMIF(Grid_BD!$B:$B,$A195,Grid_BD!$V:$V)/($AA195+SUMIF(Grid_BD!$B:$B,$A195,Grid_BD!$V:$V))),"")</f>
        <v/>
      </c>
      <c r="S195" s="9"/>
      <c r="T195" s="220"/>
      <c r="U195" s="221" t="str">
        <f t="shared" si="16"/>
        <v/>
      </c>
      <c r="V195" s="221" t="str">
        <f>IFERROR(_xlfn.XLOOKUP($A195,Input_Raw!$A:$A,Input_Raw!$FG:$FG),"")</f>
        <v/>
      </c>
      <c r="W195" s="222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78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22">
        <f>IFERROR(_xlfn.XLOOKUP($D195,'Modelling New'!$D:$D,'Modelling New'!O:O),"")</f>
        <v>0.83889907823519261</v>
      </c>
      <c r="AF195" s="222">
        <f>IFERROR(_xlfn.XLOOKUP($D195,'Modelling New'!$D:$D,'Modelling New'!W:W),"")</f>
        <v>0.20363598592644594</v>
      </c>
      <c r="AG195" s="222">
        <f>IFERROR(_xlfn.XLOOKUP($D195,'Modelling New'!$D:$D,'Modelling New'!AE:AE),"")</f>
        <v>0.995</v>
      </c>
      <c r="AH195" s="222">
        <f>IFERROR(_xlfn.XLOOKUP($D195,'Modelling New'!$D:$D,'Modelling New'!AF:AF),"")</f>
        <v>0.995</v>
      </c>
      <c r="AI195" s="9"/>
      <c r="AJ195" s="9"/>
      <c r="AK195" s="245"/>
      <c r="AL195" s="245"/>
      <c r="AM195" s="245"/>
      <c r="AN195" s="219"/>
      <c r="AO195" s="222"/>
      <c r="AP195" s="222"/>
      <c r="AQ195" s="222"/>
      <c r="AR195" s="223">
        <f>_xlfn.XLOOKUP(D195,'Modelling New'!$D:$D,'Modelling New'!$N:$N)</f>
        <v>130</v>
      </c>
      <c r="AS195" s="223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18">
        <f>Table13[[#This Row],[Date]]-DAY(Table13[[#This Row],[Date]])+1</f>
        <v>45931</v>
      </c>
      <c r="E196" s="9">
        <f t="shared" si="15"/>
        <v>31</v>
      </c>
      <c r="F196" s="188" t="str">
        <f>IFERROR(_xlfn.XLOOKUP($A196,Input_Raw!$A:$A,Input_Raw!$FC:$FC),"")</f>
        <v/>
      </c>
      <c r="G196" s="189" t="str">
        <f>IFERROR(_xlfn.XLOOKUP($A196,Input_Raw!$A:$A,Input_Raw!$CY:$CY),"")</f>
        <v/>
      </c>
      <c r="H196" s="189" t="str">
        <f>IFERROR(_xlfn.XLOOKUP($A196,Input_Raw!$A:$A,Input_Raw!$DA:$DA),"")</f>
        <v/>
      </c>
      <c r="I196" s="189" t="str">
        <f>IFERROR(_xlfn.XLOOKUP($A196,Input_Raw!$A:$A,Input_Raw!$CX:$CX),"")</f>
        <v/>
      </c>
      <c r="J196" s="189" t="str">
        <f>IFERROR(_xlfn.XLOOKUP($A196,Input_Raw!$A:$A,Input_Raw!$CZ:$CZ),"")</f>
        <v/>
      </c>
      <c r="K196" s="190" t="str">
        <f>IFERROR(_xlfn.XLOOKUP($A196,Input_Raw!$A:$A,Input_Raw!$DB:$DB),"")</f>
        <v/>
      </c>
      <c r="L196" s="190" t="str">
        <f>IFERROR(_xlfn.XLOOKUP($A196,Input_Raw!$A:$A,Input_Raw!$DC:$DC),"")</f>
        <v/>
      </c>
      <c r="M196" s="189" t="str">
        <f>IFERROR(_xlfn.XLOOKUP($A196,Input_Raw!$A:$A,Input_Raw!$DF:$DF),"")</f>
        <v/>
      </c>
      <c r="N196" s="189" t="str">
        <f>IFERROR(_xlfn.XLOOKUP($A196,Input_Raw!$A:$A,Input_Raw!$DG:$DG),"")</f>
        <v/>
      </c>
      <c r="O196" s="219" t="str">
        <f>IFERROR(1-(SUMIF(Plant_BD!$B:$B,$A196,Plant_BD!$AL:$AL)/($AA196+SUMIF(Plant_BD!$B:$B,$A196,Plant_BD!$AL:$AL))),"")</f>
        <v/>
      </c>
      <c r="P196" s="219"/>
      <c r="Q196" s="220" t="str">
        <f>IFERROR(1-(SUMIF(Grid_BD!$B:$B,$A196,Grid_BD!$V:$V)/($AA196+SUMIF(Grid_BD!$B:$B,$A196,Grid_BD!$V:$V))),"")</f>
        <v/>
      </c>
      <c r="R196" s="219" t="str">
        <f>IFERROR(1-(SUMIF(Grid_BD!$B:$B,$A196,Grid_BD!$V:$V)/($AA196+SUMIF(Grid_BD!$B:$B,$A196,Grid_BD!$V:$V))),"")</f>
        <v/>
      </c>
      <c r="S196" s="9"/>
      <c r="T196" s="220"/>
      <c r="U196" s="221" t="str">
        <f t="shared" si="16"/>
        <v/>
      </c>
      <c r="V196" s="221" t="str">
        <f>IFERROR(_xlfn.XLOOKUP($A196,Input_Raw!$A:$A,Input_Raw!$FG:$FG),"")</f>
        <v/>
      </c>
      <c r="W196" s="222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78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22">
        <f>IFERROR(_xlfn.XLOOKUP($D196,'Modelling New'!$D:$D,'Modelling New'!O:O),"")</f>
        <v>0.83889907823519261</v>
      </c>
      <c r="AF196" s="222">
        <f>IFERROR(_xlfn.XLOOKUP($D196,'Modelling New'!$D:$D,'Modelling New'!W:W),"")</f>
        <v>0.20363598592644594</v>
      </c>
      <c r="AG196" s="222">
        <f>IFERROR(_xlfn.XLOOKUP($D196,'Modelling New'!$D:$D,'Modelling New'!AE:AE),"")</f>
        <v>0.995</v>
      </c>
      <c r="AH196" s="222">
        <f>IFERROR(_xlfn.XLOOKUP($D196,'Modelling New'!$D:$D,'Modelling New'!AF:AF),"")</f>
        <v>0.995</v>
      </c>
      <c r="AI196" s="9"/>
      <c r="AJ196" s="9"/>
      <c r="AK196" s="245"/>
      <c r="AL196" s="245"/>
      <c r="AM196" s="245"/>
      <c r="AN196" s="219"/>
      <c r="AO196" s="222"/>
      <c r="AP196" s="222"/>
      <c r="AQ196" s="222"/>
      <c r="AR196" s="223">
        <f>_xlfn.XLOOKUP(D196,'Modelling New'!$D:$D,'Modelling New'!$N:$N)</f>
        <v>130</v>
      </c>
      <c r="AS196" s="223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18">
        <f>Table13[[#This Row],[Date]]-DAY(Table13[[#This Row],[Date]])+1</f>
        <v>45931</v>
      </c>
      <c r="E197" s="9">
        <f t="shared" si="15"/>
        <v>31</v>
      </c>
      <c r="F197" s="188" t="str">
        <f>IFERROR(_xlfn.XLOOKUP($A197,Input_Raw!$A:$A,Input_Raw!$FC:$FC),"")</f>
        <v/>
      </c>
      <c r="G197" s="178" t="str">
        <f>IFERROR(_xlfn.XLOOKUP($A197,Input_Raw!$A:$A,Input_Raw!$CY:$CY),"")</f>
        <v/>
      </c>
      <c r="H197" s="178" t="str">
        <f>IFERROR(_xlfn.XLOOKUP($A197,Input_Raw!$A:$A,Input_Raw!$DA:$DA),"")</f>
        <v/>
      </c>
      <c r="I197" s="178" t="str">
        <f>IFERROR(_xlfn.XLOOKUP($A197,Input_Raw!$A:$A,Input_Raw!$CX:$CX),"")</f>
        <v/>
      </c>
      <c r="J197" s="178" t="str">
        <f>IFERROR(_xlfn.XLOOKUP($A197,Input_Raw!$A:$A,Input_Raw!$CZ:$CZ),"")</f>
        <v/>
      </c>
      <c r="K197" s="190" t="str">
        <f>IFERROR(_xlfn.XLOOKUP($A197,Input_Raw!$A:$A,Input_Raw!$DB:$DB),"")</f>
        <v/>
      </c>
      <c r="L197" s="190" t="str">
        <f>IFERROR(_xlfn.XLOOKUP($A197,Input_Raw!$A:$A,Input_Raw!$DC:$DC),"")</f>
        <v/>
      </c>
      <c r="M197" s="189" t="str">
        <f>IFERROR(_xlfn.XLOOKUP($A197,Input_Raw!$A:$A,Input_Raw!$DF:$DF),"")</f>
        <v/>
      </c>
      <c r="N197" s="189" t="str">
        <f>IFERROR(_xlfn.XLOOKUP($A197,Input_Raw!$A:$A,Input_Raw!$DG:$DG),"")</f>
        <v/>
      </c>
      <c r="O197" s="219" t="str">
        <f>IFERROR(1-(SUMIF(Plant_BD!$B:$B,$A197,Plant_BD!$AL:$AL)/($AA197+SUMIF(Plant_BD!$B:$B,$A197,Plant_BD!$AL:$AL))),"")</f>
        <v/>
      </c>
      <c r="P197" s="219"/>
      <c r="Q197" s="220" t="str">
        <f>IFERROR(1-(SUMIF(Grid_BD!$B:$B,$A197,Grid_BD!$V:$V)/($AA197+SUMIF(Grid_BD!$B:$B,$A197,Grid_BD!$V:$V))),"")</f>
        <v/>
      </c>
      <c r="R197" s="219" t="str">
        <f>IFERROR(1-(SUMIF(Grid_BD!$B:$B,$A197,Grid_BD!$V:$V)/($AA197+SUMIF(Grid_BD!$B:$B,$A197,Grid_BD!$V:$V))),"")</f>
        <v/>
      </c>
      <c r="S197" s="9"/>
      <c r="T197" s="220"/>
      <c r="U197" s="221" t="str">
        <f t="shared" si="16"/>
        <v/>
      </c>
      <c r="V197" s="221" t="str">
        <f>IFERROR(_xlfn.XLOOKUP($A197,Input_Raw!$A:$A,Input_Raw!$FG:$FG),"")</f>
        <v/>
      </c>
      <c r="W197" s="222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78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22">
        <f>IFERROR(_xlfn.XLOOKUP($D197,'Modelling New'!$D:$D,'Modelling New'!O:O),"")</f>
        <v>0.83889907823519261</v>
      </c>
      <c r="AF197" s="222">
        <f>IFERROR(_xlfn.XLOOKUP($D197,'Modelling New'!$D:$D,'Modelling New'!W:W),"")</f>
        <v>0.20363598592644594</v>
      </c>
      <c r="AG197" s="222">
        <f>IFERROR(_xlfn.XLOOKUP($D197,'Modelling New'!$D:$D,'Modelling New'!AE:AE),"")</f>
        <v>0.995</v>
      </c>
      <c r="AH197" s="222">
        <f>IFERROR(_xlfn.XLOOKUP($D197,'Modelling New'!$D:$D,'Modelling New'!AF:AF),"")</f>
        <v>0.995</v>
      </c>
      <c r="AI197" s="9"/>
      <c r="AJ197" s="9"/>
      <c r="AK197" s="245"/>
      <c r="AL197" s="245"/>
      <c r="AM197" s="245"/>
      <c r="AN197" s="219"/>
      <c r="AO197" s="222"/>
      <c r="AP197" s="222"/>
      <c r="AQ197" s="222"/>
      <c r="AR197" s="223">
        <f>_xlfn.XLOOKUP(D197,'Modelling New'!$D:$D,'Modelling New'!$N:$N)</f>
        <v>130</v>
      </c>
      <c r="AS197" s="223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18">
        <f>Table13[[#This Row],[Date]]-DAY(Table13[[#This Row],[Date]])+1</f>
        <v>45931</v>
      </c>
      <c r="E198" s="9">
        <f t="shared" si="15"/>
        <v>31</v>
      </c>
      <c r="F198" s="188" t="str">
        <f>IFERROR(_xlfn.XLOOKUP($A198,Input_Raw!$A:$A,Input_Raw!$FC:$FC),"")</f>
        <v/>
      </c>
      <c r="G198" s="189" t="str">
        <f>IFERROR(_xlfn.XLOOKUP($A198,Input_Raw!$A:$A,Input_Raw!$CY:$CY),"")</f>
        <v/>
      </c>
      <c r="H198" s="189" t="str">
        <f>IFERROR(_xlfn.XLOOKUP($A198,Input_Raw!$A:$A,Input_Raw!$DA:$DA),"")</f>
        <v/>
      </c>
      <c r="I198" s="189" t="str">
        <f>IFERROR(_xlfn.XLOOKUP($A198,Input_Raw!$A:$A,Input_Raw!$CX:$CX),"")</f>
        <v/>
      </c>
      <c r="J198" s="189" t="str">
        <f>IFERROR(_xlfn.XLOOKUP($A198,Input_Raw!$A:$A,Input_Raw!$CZ:$CZ),"")</f>
        <v/>
      </c>
      <c r="K198" s="190" t="str">
        <f>IFERROR(_xlfn.XLOOKUP($A198,Input_Raw!$A:$A,Input_Raw!$DB:$DB),"")</f>
        <v/>
      </c>
      <c r="L198" s="190" t="str">
        <f>IFERROR(_xlfn.XLOOKUP($A198,Input_Raw!$A:$A,Input_Raw!$DC:$DC),"")</f>
        <v/>
      </c>
      <c r="M198" s="189" t="str">
        <f>IFERROR(_xlfn.XLOOKUP($A198,Input_Raw!$A:$A,Input_Raw!$DF:$DF),"")</f>
        <v/>
      </c>
      <c r="N198" s="189" t="str">
        <f>IFERROR(_xlfn.XLOOKUP($A198,Input_Raw!$A:$A,Input_Raw!$DG:$DG),"")</f>
        <v/>
      </c>
      <c r="O198" s="219" t="str">
        <f>IFERROR(1-(SUMIF(Plant_BD!$B:$B,$A198,Plant_BD!$AL:$AL)/($AA198+SUMIF(Plant_BD!$B:$B,$A198,Plant_BD!$AL:$AL))),"")</f>
        <v/>
      </c>
      <c r="P198" s="219"/>
      <c r="Q198" s="220" t="str">
        <f>IFERROR(1-(SUMIF(Grid_BD!$B:$B,$A198,Grid_BD!$V:$V)/($AA198+SUMIF(Grid_BD!$B:$B,$A198,Grid_BD!$V:$V))),"")</f>
        <v/>
      </c>
      <c r="R198" s="219" t="str">
        <f>IFERROR(1-(SUMIF(Grid_BD!$B:$B,$A198,Grid_BD!$V:$V)/($AA198+SUMIF(Grid_BD!$B:$B,$A198,Grid_BD!$V:$V))),"")</f>
        <v/>
      </c>
      <c r="S198" s="9"/>
      <c r="T198" s="220"/>
      <c r="U198" s="221" t="str">
        <f t="shared" si="16"/>
        <v/>
      </c>
      <c r="V198" s="221" t="str">
        <f>IFERROR(_xlfn.XLOOKUP($A198,Input_Raw!$A:$A,Input_Raw!$FG:$FG),"")</f>
        <v/>
      </c>
      <c r="W198" s="222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78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22">
        <f>IFERROR(_xlfn.XLOOKUP($D198,'Modelling New'!$D:$D,'Modelling New'!O:O),"")</f>
        <v>0.83889907823519261</v>
      </c>
      <c r="AF198" s="222">
        <f>IFERROR(_xlfn.XLOOKUP($D198,'Modelling New'!$D:$D,'Modelling New'!W:W),"")</f>
        <v>0.20363598592644594</v>
      </c>
      <c r="AG198" s="222">
        <f>IFERROR(_xlfn.XLOOKUP($D198,'Modelling New'!$D:$D,'Modelling New'!AE:AE),"")</f>
        <v>0.995</v>
      </c>
      <c r="AH198" s="222">
        <f>IFERROR(_xlfn.XLOOKUP($D198,'Modelling New'!$D:$D,'Modelling New'!AF:AF),"")</f>
        <v>0.995</v>
      </c>
      <c r="AI198" s="9"/>
      <c r="AJ198" s="9"/>
      <c r="AK198" s="245"/>
      <c r="AL198" s="245"/>
      <c r="AM198" s="245"/>
      <c r="AN198" s="219"/>
      <c r="AO198" s="222"/>
      <c r="AP198" s="222"/>
      <c r="AQ198" s="222"/>
      <c r="AR198" s="223">
        <f>_xlfn.XLOOKUP(D198,'Modelling New'!$D:$D,'Modelling New'!$N:$N)</f>
        <v>130</v>
      </c>
      <c r="AS198" s="223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18">
        <f>Table13[[#This Row],[Date]]-DAY(Table13[[#This Row],[Date]])+1</f>
        <v>45931</v>
      </c>
      <c r="E199" s="9">
        <f t="shared" si="15"/>
        <v>31</v>
      </c>
      <c r="F199" s="188" t="str">
        <f>IFERROR(_xlfn.XLOOKUP($A199,Input_Raw!$A:$A,Input_Raw!$FC:$FC),"")</f>
        <v/>
      </c>
      <c r="G199" s="178" t="str">
        <f>IFERROR(_xlfn.XLOOKUP($A199,Input_Raw!$A:$A,Input_Raw!$CY:$CY),"")</f>
        <v/>
      </c>
      <c r="H199" s="178" t="str">
        <f>IFERROR(_xlfn.XLOOKUP($A199,Input_Raw!$A:$A,Input_Raw!$DA:$DA),"")</f>
        <v/>
      </c>
      <c r="I199" s="178" t="str">
        <f>IFERROR(_xlfn.XLOOKUP($A199,Input_Raw!$A:$A,Input_Raw!$CX:$CX),"")</f>
        <v/>
      </c>
      <c r="J199" s="178" t="str">
        <f>IFERROR(_xlfn.XLOOKUP($A199,Input_Raw!$A:$A,Input_Raw!$CZ:$CZ),"")</f>
        <v/>
      </c>
      <c r="K199" s="190" t="str">
        <f>IFERROR(_xlfn.XLOOKUP($A199,Input_Raw!$A:$A,Input_Raw!$DB:$DB),"")</f>
        <v/>
      </c>
      <c r="L199" s="190" t="str">
        <f>IFERROR(_xlfn.XLOOKUP($A199,Input_Raw!$A:$A,Input_Raw!$DC:$DC),"")</f>
        <v/>
      </c>
      <c r="M199" s="189" t="str">
        <f>IFERROR(_xlfn.XLOOKUP($A199,Input_Raw!$A:$A,Input_Raw!$DF:$DF),"")</f>
        <v/>
      </c>
      <c r="N199" s="189" t="str">
        <f>IFERROR(_xlfn.XLOOKUP($A199,Input_Raw!$A:$A,Input_Raw!$DG:$DG),"")</f>
        <v/>
      </c>
      <c r="O199" s="219" t="str">
        <f>IFERROR(1-(SUMIF(Plant_BD!$B:$B,$A199,Plant_BD!$AL:$AL)/($AA199+SUMIF(Plant_BD!$B:$B,$A199,Plant_BD!$AL:$AL))),"")</f>
        <v/>
      </c>
      <c r="P199" s="219"/>
      <c r="Q199" s="220" t="str">
        <f>IFERROR(1-(SUMIF(Grid_BD!$B:$B,$A199,Grid_BD!$V:$V)/($AA199+SUMIF(Grid_BD!$B:$B,$A199,Grid_BD!$V:$V))),"")</f>
        <v/>
      </c>
      <c r="R199" s="219" t="str">
        <f>IFERROR(1-(SUMIF(Grid_BD!$B:$B,$A199,Grid_BD!$V:$V)/($AA199+SUMIF(Grid_BD!$B:$B,$A199,Grid_BD!$V:$V))),"")</f>
        <v/>
      </c>
      <c r="S199" s="9"/>
      <c r="T199" s="220"/>
      <c r="U199" s="221" t="str">
        <f t="shared" si="16"/>
        <v/>
      </c>
      <c r="V199" s="221" t="str">
        <f>IFERROR(_xlfn.XLOOKUP($A199,Input_Raw!$A:$A,Input_Raw!$FG:$FG),"")</f>
        <v/>
      </c>
      <c r="W199" s="222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78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22">
        <f>IFERROR(_xlfn.XLOOKUP($D199,'Modelling New'!$D:$D,'Modelling New'!O:O),"")</f>
        <v>0.83889907823519261</v>
      </c>
      <c r="AF199" s="222">
        <f>IFERROR(_xlfn.XLOOKUP($D199,'Modelling New'!$D:$D,'Modelling New'!W:W),"")</f>
        <v>0.20363598592644594</v>
      </c>
      <c r="AG199" s="222">
        <f>IFERROR(_xlfn.XLOOKUP($D199,'Modelling New'!$D:$D,'Modelling New'!AE:AE),"")</f>
        <v>0.995</v>
      </c>
      <c r="AH199" s="222">
        <f>IFERROR(_xlfn.XLOOKUP($D199,'Modelling New'!$D:$D,'Modelling New'!AF:AF),"")</f>
        <v>0.995</v>
      </c>
      <c r="AI199" s="9"/>
      <c r="AJ199" s="9"/>
      <c r="AK199" s="245"/>
      <c r="AL199" s="245"/>
      <c r="AM199" s="245"/>
      <c r="AN199" s="219"/>
      <c r="AO199" s="222"/>
      <c r="AP199" s="222"/>
      <c r="AQ199" s="222"/>
      <c r="AR199" s="223">
        <f>_xlfn.XLOOKUP(D199,'Modelling New'!$D:$D,'Modelling New'!$N:$N)</f>
        <v>130</v>
      </c>
      <c r="AS199" s="223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18">
        <f>Table13[[#This Row],[Date]]-DAY(Table13[[#This Row],[Date]])+1</f>
        <v>45931</v>
      </c>
      <c r="E200" s="9">
        <f t="shared" si="15"/>
        <v>31</v>
      </c>
      <c r="F200" s="188" t="str">
        <f>IFERROR(_xlfn.XLOOKUP($A200,Input_Raw!$A:$A,Input_Raw!$FC:$FC),"")</f>
        <v/>
      </c>
      <c r="G200" s="189" t="str">
        <f>IFERROR(_xlfn.XLOOKUP($A200,Input_Raw!$A:$A,Input_Raw!$CY:$CY),"")</f>
        <v/>
      </c>
      <c r="H200" s="189" t="str">
        <f>IFERROR(_xlfn.XLOOKUP($A200,Input_Raw!$A:$A,Input_Raw!$DA:$DA),"")</f>
        <v/>
      </c>
      <c r="I200" s="189" t="str">
        <f>IFERROR(_xlfn.XLOOKUP($A200,Input_Raw!$A:$A,Input_Raw!$CX:$CX),"")</f>
        <v/>
      </c>
      <c r="J200" s="189" t="str">
        <f>IFERROR(_xlfn.XLOOKUP($A200,Input_Raw!$A:$A,Input_Raw!$CZ:$CZ),"")</f>
        <v/>
      </c>
      <c r="K200" s="190" t="str">
        <f>IFERROR(_xlfn.XLOOKUP($A200,Input_Raw!$A:$A,Input_Raw!$DB:$DB),"")</f>
        <v/>
      </c>
      <c r="L200" s="190" t="str">
        <f>IFERROR(_xlfn.XLOOKUP($A200,Input_Raw!$A:$A,Input_Raw!$DC:$DC),"")</f>
        <v/>
      </c>
      <c r="M200" s="189" t="str">
        <f>IFERROR(_xlfn.XLOOKUP($A200,Input_Raw!$A:$A,Input_Raw!$DF:$DF),"")</f>
        <v/>
      </c>
      <c r="N200" s="189" t="str">
        <f>IFERROR(_xlfn.XLOOKUP($A200,Input_Raw!$A:$A,Input_Raw!$DG:$DG),"")</f>
        <v/>
      </c>
      <c r="O200" s="219" t="str">
        <f>IFERROR(1-(SUMIF(Plant_BD!$B:$B,$A200,Plant_BD!$AL:$AL)/($AA200+SUMIF(Plant_BD!$B:$B,$A200,Plant_BD!$AL:$AL))),"")</f>
        <v/>
      </c>
      <c r="P200" s="219"/>
      <c r="Q200" s="220" t="str">
        <f>IFERROR(1-(SUMIF(Grid_BD!$B:$B,$A200,Grid_BD!$V:$V)/($AA200+SUMIF(Grid_BD!$B:$B,$A200,Grid_BD!$V:$V))),"")</f>
        <v/>
      </c>
      <c r="R200" s="219" t="str">
        <f>IFERROR(1-(SUMIF(Grid_BD!$B:$B,$A200,Grid_BD!$V:$V)/($AA200+SUMIF(Grid_BD!$B:$B,$A200,Grid_BD!$V:$V))),"")</f>
        <v/>
      </c>
      <c r="S200" s="9"/>
      <c r="T200" s="220"/>
      <c r="U200" s="221" t="str">
        <f t="shared" si="16"/>
        <v/>
      </c>
      <c r="V200" s="221" t="str">
        <f>IFERROR(_xlfn.XLOOKUP($A200,Input_Raw!$A:$A,Input_Raw!$FG:$FG),"")</f>
        <v/>
      </c>
      <c r="W200" s="222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78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22">
        <f>IFERROR(_xlfn.XLOOKUP($D200,'Modelling New'!$D:$D,'Modelling New'!O:O),"")</f>
        <v>0.83889907823519261</v>
      </c>
      <c r="AF200" s="222">
        <f>IFERROR(_xlfn.XLOOKUP($D200,'Modelling New'!$D:$D,'Modelling New'!W:W),"")</f>
        <v>0.20363598592644594</v>
      </c>
      <c r="AG200" s="222">
        <f>IFERROR(_xlfn.XLOOKUP($D200,'Modelling New'!$D:$D,'Modelling New'!AE:AE),"")</f>
        <v>0.995</v>
      </c>
      <c r="AH200" s="222">
        <f>IFERROR(_xlfn.XLOOKUP($D200,'Modelling New'!$D:$D,'Modelling New'!AF:AF),"")</f>
        <v>0.995</v>
      </c>
      <c r="AI200" s="9"/>
      <c r="AJ200" s="9"/>
      <c r="AK200" s="245"/>
      <c r="AL200" s="245"/>
      <c r="AM200" s="245"/>
      <c r="AN200" s="219"/>
      <c r="AO200" s="222"/>
      <c r="AP200" s="222"/>
      <c r="AQ200" s="222"/>
      <c r="AR200" s="223">
        <f>_xlfn.XLOOKUP(D200,'Modelling New'!$D:$D,'Modelling New'!$N:$N)</f>
        <v>130</v>
      </c>
      <c r="AS200" s="223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18">
        <f>Table13[[#This Row],[Date]]-DAY(Table13[[#This Row],[Date]])+1</f>
        <v>45931</v>
      </c>
      <c r="E201" s="9">
        <f t="shared" si="15"/>
        <v>31</v>
      </c>
      <c r="F201" s="188" t="str">
        <f>IFERROR(_xlfn.XLOOKUP($A201,Input_Raw!$A:$A,Input_Raw!$FC:$FC),"")</f>
        <v/>
      </c>
      <c r="G201" s="178" t="str">
        <f>IFERROR(_xlfn.XLOOKUP($A201,Input_Raw!$A:$A,Input_Raw!$CY:$CY),"")</f>
        <v/>
      </c>
      <c r="H201" s="178" t="str">
        <f>IFERROR(_xlfn.XLOOKUP($A201,Input_Raw!$A:$A,Input_Raw!$DA:$DA),"")</f>
        <v/>
      </c>
      <c r="I201" s="178" t="str">
        <f>IFERROR(_xlfn.XLOOKUP($A201,Input_Raw!$A:$A,Input_Raw!$CX:$CX),"")</f>
        <v/>
      </c>
      <c r="J201" s="178" t="str">
        <f>IFERROR(_xlfn.XLOOKUP($A201,Input_Raw!$A:$A,Input_Raw!$CZ:$CZ),"")</f>
        <v/>
      </c>
      <c r="K201" s="190" t="str">
        <f>IFERROR(_xlfn.XLOOKUP($A201,Input_Raw!$A:$A,Input_Raw!$DB:$DB),"")</f>
        <v/>
      </c>
      <c r="L201" s="190" t="str">
        <f>IFERROR(_xlfn.XLOOKUP($A201,Input_Raw!$A:$A,Input_Raw!$DC:$DC),"")</f>
        <v/>
      </c>
      <c r="M201" s="189" t="str">
        <f>IFERROR(_xlfn.XLOOKUP($A201,Input_Raw!$A:$A,Input_Raw!$DF:$DF),"")</f>
        <v/>
      </c>
      <c r="N201" s="189" t="str">
        <f>IFERROR(_xlfn.XLOOKUP($A201,Input_Raw!$A:$A,Input_Raw!$DG:$DG),"")</f>
        <v/>
      </c>
      <c r="O201" s="219" t="str">
        <f>IFERROR(1-(SUMIF(Plant_BD!$B:$B,$A201,Plant_BD!$AL:$AL)/($AA201+SUMIF(Plant_BD!$B:$B,$A201,Plant_BD!$AL:$AL))),"")</f>
        <v/>
      </c>
      <c r="P201" s="219"/>
      <c r="Q201" s="220" t="str">
        <f>IFERROR(1-(SUMIF(Grid_BD!$B:$B,$A201,Grid_BD!$V:$V)/($AA201+SUMIF(Grid_BD!$B:$B,$A201,Grid_BD!$V:$V))),"")</f>
        <v/>
      </c>
      <c r="R201" s="219" t="str">
        <f>IFERROR(1-(SUMIF(Grid_BD!$B:$B,$A201,Grid_BD!$V:$V)/($AA201+SUMIF(Grid_BD!$B:$B,$A201,Grid_BD!$V:$V))),"")</f>
        <v/>
      </c>
      <c r="S201" s="9"/>
      <c r="T201" s="220"/>
      <c r="U201" s="221" t="str">
        <f t="shared" si="16"/>
        <v/>
      </c>
      <c r="V201" s="221" t="str">
        <f>IFERROR(_xlfn.XLOOKUP($A201,Input_Raw!$A:$A,Input_Raw!$FG:$FG),"")</f>
        <v/>
      </c>
      <c r="W201" s="222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78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22">
        <f>IFERROR(_xlfn.XLOOKUP($D201,'Modelling New'!$D:$D,'Modelling New'!O:O),"")</f>
        <v>0.83889907823519261</v>
      </c>
      <c r="AF201" s="222">
        <f>IFERROR(_xlfn.XLOOKUP($D201,'Modelling New'!$D:$D,'Modelling New'!W:W),"")</f>
        <v>0.20363598592644594</v>
      </c>
      <c r="AG201" s="222">
        <f>IFERROR(_xlfn.XLOOKUP($D201,'Modelling New'!$D:$D,'Modelling New'!AE:AE),"")</f>
        <v>0.995</v>
      </c>
      <c r="AH201" s="222">
        <f>IFERROR(_xlfn.XLOOKUP($D201,'Modelling New'!$D:$D,'Modelling New'!AF:AF),"")</f>
        <v>0.995</v>
      </c>
      <c r="AI201" s="9"/>
      <c r="AJ201" s="9"/>
      <c r="AK201" s="245"/>
      <c r="AL201" s="245"/>
      <c r="AM201" s="245"/>
      <c r="AN201" s="219"/>
      <c r="AO201" s="222"/>
      <c r="AP201" s="222"/>
      <c r="AQ201" s="222"/>
      <c r="AR201" s="223">
        <f>_xlfn.XLOOKUP(D201,'Modelling New'!$D:$D,'Modelling New'!$N:$N)</f>
        <v>130</v>
      </c>
      <c r="AS201" s="223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18">
        <f>Table13[[#This Row],[Date]]-DAY(Table13[[#This Row],[Date]])+1</f>
        <v>45931</v>
      </c>
      <c r="E202" s="9">
        <f t="shared" si="15"/>
        <v>31</v>
      </c>
      <c r="F202" s="188" t="str">
        <f>IFERROR(_xlfn.XLOOKUP($A202,Input_Raw!$A:$A,Input_Raw!$FC:$FC),"")</f>
        <v/>
      </c>
      <c r="G202" s="189" t="str">
        <f>IFERROR(_xlfn.XLOOKUP($A202,Input_Raw!$A:$A,Input_Raw!$CY:$CY),"")</f>
        <v/>
      </c>
      <c r="H202" s="189" t="str">
        <f>IFERROR(_xlfn.XLOOKUP($A202,Input_Raw!$A:$A,Input_Raw!$DA:$DA),"")</f>
        <v/>
      </c>
      <c r="I202" s="189" t="str">
        <f>IFERROR(_xlfn.XLOOKUP($A202,Input_Raw!$A:$A,Input_Raw!$CX:$CX),"")</f>
        <v/>
      </c>
      <c r="J202" s="189" t="str">
        <f>IFERROR(_xlfn.XLOOKUP($A202,Input_Raw!$A:$A,Input_Raw!$CZ:$CZ),"")</f>
        <v/>
      </c>
      <c r="K202" s="190" t="str">
        <f>IFERROR(_xlfn.XLOOKUP($A202,Input_Raw!$A:$A,Input_Raw!$DB:$DB),"")</f>
        <v/>
      </c>
      <c r="L202" s="190" t="str">
        <f>IFERROR(_xlfn.XLOOKUP($A202,Input_Raw!$A:$A,Input_Raw!$DC:$DC),"")</f>
        <v/>
      </c>
      <c r="M202" s="189" t="str">
        <f>IFERROR(_xlfn.XLOOKUP($A202,Input_Raw!$A:$A,Input_Raw!$DF:$DF),"")</f>
        <v/>
      </c>
      <c r="N202" s="189" t="str">
        <f>IFERROR(_xlfn.XLOOKUP($A202,Input_Raw!$A:$A,Input_Raw!$DG:$DG),"")</f>
        <v/>
      </c>
      <c r="O202" s="219" t="str">
        <f>IFERROR(1-(SUMIF(Plant_BD!$B:$B,$A202,Plant_BD!$AL:$AL)/($AA202+SUMIF(Plant_BD!$B:$B,$A202,Plant_BD!$AL:$AL))),"")</f>
        <v/>
      </c>
      <c r="P202" s="219"/>
      <c r="Q202" s="220" t="str">
        <f>IFERROR(1-(SUMIF(Grid_BD!$B:$B,$A202,Grid_BD!$V:$V)/($AA202+SUMIF(Grid_BD!$B:$B,$A202,Grid_BD!$V:$V))),"")</f>
        <v/>
      </c>
      <c r="R202" s="219" t="str">
        <f>IFERROR(1-(SUMIF(Grid_BD!$B:$B,$A202,Grid_BD!$V:$V)/($AA202+SUMIF(Grid_BD!$B:$B,$A202,Grid_BD!$V:$V))),"")</f>
        <v/>
      </c>
      <c r="S202" s="9"/>
      <c r="T202" s="220"/>
      <c r="U202" s="221" t="str">
        <f t="shared" si="16"/>
        <v/>
      </c>
      <c r="V202" s="221" t="str">
        <f>IFERROR(_xlfn.XLOOKUP($A202,Input_Raw!$A:$A,Input_Raw!$FG:$FG),"")</f>
        <v/>
      </c>
      <c r="W202" s="222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78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22">
        <f>IFERROR(_xlfn.XLOOKUP($D202,'Modelling New'!$D:$D,'Modelling New'!O:O),"")</f>
        <v>0.83889907823519261</v>
      </c>
      <c r="AF202" s="222">
        <f>IFERROR(_xlfn.XLOOKUP($D202,'Modelling New'!$D:$D,'Modelling New'!W:W),"")</f>
        <v>0.20363598592644594</v>
      </c>
      <c r="AG202" s="222">
        <f>IFERROR(_xlfn.XLOOKUP($D202,'Modelling New'!$D:$D,'Modelling New'!AE:AE),"")</f>
        <v>0.995</v>
      </c>
      <c r="AH202" s="222">
        <f>IFERROR(_xlfn.XLOOKUP($D202,'Modelling New'!$D:$D,'Modelling New'!AF:AF),"")</f>
        <v>0.995</v>
      </c>
      <c r="AI202" s="9"/>
      <c r="AJ202" s="9"/>
      <c r="AK202" s="245"/>
      <c r="AL202" s="245"/>
      <c r="AM202" s="245"/>
      <c r="AN202" s="219"/>
      <c r="AO202" s="222"/>
      <c r="AP202" s="222"/>
      <c r="AQ202" s="222"/>
      <c r="AR202" s="223">
        <f>_xlfn.XLOOKUP(D202,'Modelling New'!$D:$D,'Modelling New'!$N:$N)</f>
        <v>130</v>
      </c>
      <c r="AS202" s="223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18">
        <f>Table13[[#This Row],[Date]]-DAY(Table13[[#This Row],[Date]])+1</f>
        <v>45931</v>
      </c>
      <c r="E203" s="9">
        <f t="shared" si="15"/>
        <v>31</v>
      </c>
      <c r="F203" s="188" t="str">
        <f>IFERROR(_xlfn.XLOOKUP($A203,Input_Raw!$A:$A,Input_Raw!$FC:$FC),"")</f>
        <v/>
      </c>
      <c r="G203" s="178" t="str">
        <f>IFERROR(_xlfn.XLOOKUP($A203,Input_Raw!$A:$A,Input_Raw!$CY:$CY),"")</f>
        <v/>
      </c>
      <c r="H203" s="178" t="str">
        <f>IFERROR(_xlfn.XLOOKUP($A203,Input_Raw!$A:$A,Input_Raw!$DA:$DA),"")</f>
        <v/>
      </c>
      <c r="I203" s="178" t="str">
        <f>IFERROR(_xlfn.XLOOKUP($A203,Input_Raw!$A:$A,Input_Raw!$CX:$CX),"")</f>
        <v/>
      </c>
      <c r="J203" s="178" t="str">
        <f>IFERROR(_xlfn.XLOOKUP($A203,Input_Raw!$A:$A,Input_Raw!$CZ:$CZ),"")</f>
        <v/>
      </c>
      <c r="K203" s="190" t="str">
        <f>IFERROR(_xlfn.XLOOKUP($A203,Input_Raw!$A:$A,Input_Raw!$DB:$DB),"")</f>
        <v/>
      </c>
      <c r="L203" s="190" t="str">
        <f>IFERROR(_xlfn.XLOOKUP($A203,Input_Raw!$A:$A,Input_Raw!$DC:$DC),"")</f>
        <v/>
      </c>
      <c r="M203" s="189" t="str">
        <f>IFERROR(_xlfn.XLOOKUP($A203,Input_Raw!$A:$A,Input_Raw!$DF:$DF),"")</f>
        <v/>
      </c>
      <c r="N203" s="189" t="str">
        <f>IFERROR(_xlfn.XLOOKUP($A203,Input_Raw!$A:$A,Input_Raw!$DG:$DG),"")</f>
        <v/>
      </c>
      <c r="O203" s="219" t="str">
        <f>IFERROR(1-(SUMIF(Plant_BD!$B:$B,$A203,Plant_BD!$AL:$AL)/($AA203+SUMIF(Plant_BD!$B:$B,$A203,Plant_BD!$AL:$AL))),"")</f>
        <v/>
      </c>
      <c r="P203" s="219"/>
      <c r="Q203" s="220" t="str">
        <f>IFERROR(1-(SUMIF(Grid_BD!$B:$B,$A203,Grid_BD!$V:$V)/($AA203+SUMIF(Grid_BD!$B:$B,$A203,Grid_BD!$V:$V))),"")</f>
        <v/>
      </c>
      <c r="R203" s="219" t="str">
        <f>IFERROR(1-(SUMIF(Grid_BD!$B:$B,$A203,Grid_BD!$V:$V)/($AA203+SUMIF(Grid_BD!$B:$B,$A203,Grid_BD!$V:$V))),"")</f>
        <v/>
      </c>
      <c r="S203" s="9"/>
      <c r="T203" s="220"/>
      <c r="U203" s="221" t="str">
        <f t="shared" si="16"/>
        <v/>
      </c>
      <c r="V203" s="221" t="str">
        <f>IFERROR(_xlfn.XLOOKUP($A203,Input_Raw!$A:$A,Input_Raw!$FG:$FG),"")</f>
        <v/>
      </c>
      <c r="W203" s="222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78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22">
        <f>IFERROR(_xlfn.XLOOKUP($D203,'Modelling New'!$D:$D,'Modelling New'!O:O),"")</f>
        <v>0.83889907823519261</v>
      </c>
      <c r="AF203" s="222">
        <f>IFERROR(_xlfn.XLOOKUP($D203,'Modelling New'!$D:$D,'Modelling New'!W:W),"")</f>
        <v>0.20363598592644594</v>
      </c>
      <c r="AG203" s="222">
        <f>IFERROR(_xlfn.XLOOKUP($D203,'Modelling New'!$D:$D,'Modelling New'!AE:AE),"")</f>
        <v>0.995</v>
      </c>
      <c r="AH203" s="222">
        <f>IFERROR(_xlfn.XLOOKUP($D203,'Modelling New'!$D:$D,'Modelling New'!AF:AF),"")</f>
        <v>0.995</v>
      </c>
      <c r="AI203" s="9"/>
      <c r="AJ203" s="9"/>
      <c r="AK203" s="245"/>
      <c r="AL203" s="245"/>
      <c r="AM203" s="245"/>
      <c r="AN203" s="219"/>
      <c r="AO203" s="222"/>
      <c r="AP203" s="222"/>
      <c r="AQ203" s="222"/>
      <c r="AR203" s="223">
        <f>_xlfn.XLOOKUP(D203,'Modelling New'!$D:$D,'Modelling New'!$N:$N)</f>
        <v>130</v>
      </c>
      <c r="AS203" s="223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18">
        <f>Table13[[#This Row],[Date]]-DAY(Table13[[#This Row],[Date]])+1</f>
        <v>45931</v>
      </c>
      <c r="E204" s="9">
        <f t="shared" si="15"/>
        <v>31</v>
      </c>
      <c r="F204" s="188" t="str">
        <f>IFERROR(_xlfn.XLOOKUP($A204,Input_Raw!$A:$A,Input_Raw!$FC:$FC),"")</f>
        <v/>
      </c>
      <c r="G204" s="189" t="str">
        <f>IFERROR(_xlfn.XLOOKUP($A204,Input_Raw!$A:$A,Input_Raw!$CY:$CY),"")</f>
        <v/>
      </c>
      <c r="H204" s="189" t="str">
        <f>IFERROR(_xlfn.XLOOKUP($A204,Input_Raw!$A:$A,Input_Raw!$DA:$DA),"")</f>
        <v/>
      </c>
      <c r="I204" s="189" t="str">
        <f>IFERROR(_xlfn.XLOOKUP($A204,Input_Raw!$A:$A,Input_Raw!$CX:$CX),"")</f>
        <v/>
      </c>
      <c r="J204" s="189" t="str">
        <f>IFERROR(_xlfn.XLOOKUP($A204,Input_Raw!$A:$A,Input_Raw!$CZ:$CZ),"")</f>
        <v/>
      </c>
      <c r="K204" s="190" t="str">
        <f>IFERROR(_xlfn.XLOOKUP($A204,Input_Raw!$A:$A,Input_Raw!$DB:$DB),"")</f>
        <v/>
      </c>
      <c r="L204" s="190" t="str">
        <f>IFERROR(_xlfn.XLOOKUP($A204,Input_Raw!$A:$A,Input_Raw!$DC:$DC),"")</f>
        <v/>
      </c>
      <c r="M204" s="189" t="str">
        <f>IFERROR(_xlfn.XLOOKUP($A204,Input_Raw!$A:$A,Input_Raw!$DF:$DF),"")</f>
        <v/>
      </c>
      <c r="N204" s="189" t="str">
        <f>IFERROR(_xlfn.XLOOKUP($A204,Input_Raw!$A:$A,Input_Raw!$DG:$DG),"")</f>
        <v/>
      </c>
      <c r="O204" s="219" t="str">
        <f>IFERROR(1-(SUMIF(Plant_BD!$B:$B,$A204,Plant_BD!$AL:$AL)/($AA204+SUMIF(Plant_BD!$B:$B,$A204,Plant_BD!$AL:$AL))),"")</f>
        <v/>
      </c>
      <c r="P204" s="219"/>
      <c r="Q204" s="220" t="str">
        <f>IFERROR(1-(SUMIF(Grid_BD!$B:$B,$A204,Grid_BD!$V:$V)/($AA204+SUMIF(Grid_BD!$B:$B,$A204,Grid_BD!$V:$V))),"")</f>
        <v/>
      </c>
      <c r="R204" s="219" t="str">
        <f>IFERROR(1-(SUMIF(Grid_BD!$B:$B,$A204,Grid_BD!$V:$V)/($AA204+SUMIF(Grid_BD!$B:$B,$A204,Grid_BD!$V:$V))),"")</f>
        <v/>
      </c>
      <c r="S204" s="9"/>
      <c r="T204" s="220"/>
      <c r="U204" s="221" t="str">
        <f t="shared" si="16"/>
        <v/>
      </c>
      <c r="V204" s="221" t="str">
        <f>IFERROR(_xlfn.XLOOKUP($A204,Input_Raw!$A:$A,Input_Raw!$FG:$FG),"")</f>
        <v/>
      </c>
      <c r="W204" s="222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78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22">
        <f>IFERROR(_xlfn.XLOOKUP($D204,'Modelling New'!$D:$D,'Modelling New'!O:O),"")</f>
        <v>0.83889907823519261</v>
      </c>
      <c r="AF204" s="222">
        <f>IFERROR(_xlfn.XLOOKUP($D204,'Modelling New'!$D:$D,'Modelling New'!W:W),"")</f>
        <v>0.20363598592644594</v>
      </c>
      <c r="AG204" s="222">
        <f>IFERROR(_xlfn.XLOOKUP($D204,'Modelling New'!$D:$D,'Modelling New'!AE:AE),"")</f>
        <v>0.995</v>
      </c>
      <c r="AH204" s="222">
        <f>IFERROR(_xlfn.XLOOKUP($D204,'Modelling New'!$D:$D,'Modelling New'!AF:AF),"")</f>
        <v>0.995</v>
      </c>
      <c r="AI204" s="9"/>
      <c r="AJ204" s="9"/>
      <c r="AK204" s="245"/>
      <c r="AL204" s="245"/>
      <c r="AM204" s="245"/>
      <c r="AN204" s="219"/>
      <c r="AO204" s="222"/>
      <c r="AP204" s="222"/>
      <c r="AQ204" s="222"/>
      <c r="AR204" s="223">
        <f>_xlfn.XLOOKUP(D204,'Modelling New'!$D:$D,'Modelling New'!$N:$N)</f>
        <v>130</v>
      </c>
      <c r="AS204" s="223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18">
        <f>Table13[[#This Row],[Date]]-DAY(Table13[[#This Row],[Date]])+1</f>
        <v>45931</v>
      </c>
      <c r="E205" s="9">
        <f t="shared" si="15"/>
        <v>31</v>
      </c>
      <c r="F205" s="188" t="str">
        <f>IFERROR(_xlfn.XLOOKUP($A205,Input_Raw!$A:$A,Input_Raw!$FC:$FC),"")</f>
        <v/>
      </c>
      <c r="G205" s="178" t="str">
        <f>IFERROR(_xlfn.XLOOKUP($A205,Input_Raw!$A:$A,Input_Raw!$CY:$CY),"")</f>
        <v/>
      </c>
      <c r="H205" s="178" t="str">
        <f>IFERROR(_xlfn.XLOOKUP($A205,Input_Raw!$A:$A,Input_Raw!$DA:$DA),"")</f>
        <v/>
      </c>
      <c r="I205" s="178" t="str">
        <f>IFERROR(_xlfn.XLOOKUP($A205,Input_Raw!$A:$A,Input_Raw!$CX:$CX),"")</f>
        <v/>
      </c>
      <c r="J205" s="178" t="str">
        <f>IFERROR(_xlfn.XLOOKUP($A205,Input_Raw!$A:$A,Input_Raw!$CZ:$CZ),"")</f>
        <v/>
      </c>
      <c r="K205" s="190" t="str">
        <f>IFERROR(_xlfn.XLOOKUP($A205,Input_Raw!$A:$A,Input_Raw!$DB:$DB),"")</f>
        <v/>
      </c>
      <c r="L205" s="190" t="str">
        <f>IFERROR(_xlfn.XLOOKUP($A205,Input_Raw!$A:$A,Input_Raw!$DC:$DC),"")</f>
        <v/>
      </c>
      <c r="M205" s="189" t="str">
        <f>IFERROR(_xlfn.XLOOKUP($A205,Input_Raw!$A:$A,Input_Raw!$DF:$DF),"")</f>
        <v/>
      </c>
      <c r="N205" s="189" t="str">
        <f>IFERROR(_xlfn.XLOOKUP($A205,Input_Raw!$A:$A,Input_Raw!$DG:$DG),"")</f>
        <v/>
      </c>
      <c r="O205" s="219" t="str">
        <f>IFERROR(1-(SUMIF(Plant_BD!$B:$B,$A205,Plant_BD!$AL:$AL)/($AA205+SUMIF(Plant_BD!$B:$B,$A205,Plant_BD!$AL:$AL))),"")</f>
        <v/>
      </c>
      <c r="P205" s="219"/>
      <c r="Q205" s="220" t="str">
        <f>IFERROR(1-(SUMIF(Grid_BD!$B:$B,$A205,Grid_BD!$V:$V)/($AA205+SUMIF(Grid_BD!$B:$B,$A205,Grid_BD!$V:$V))),"")</f>
        <v/>
      </c>
      <c r="R205" s="219" t="str">
        <f>IFERROR(1-(SUMIF(Grid_BD!$B:$B,$A205,Grid_BD!$V:$V)/($AA205+SUMIF(Grid_BD!$B:$B,$A205,Grid_BD!$V:$V))),"")</f>
        <v/>
      </c>
      <c r="S205" s="9"/>
      <c r="T205" s="220"/>
      <c r="U205" s="221" t="str">
        <f t="shared" si="16"/>
        <v/>
      </c>
      <c r="V205" s="221" t="str">
        <f>IFERROR(_xlfn.XLOOKUP($A205,Input_Raw!$A:$A,Input_Raw!$FG:$FG),"")</f>
        <v/>
      </c>
      <c r="W205" s="222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78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22">
        <f>IFERROR(_xlfn.XLOOKUP($D205,'Modelling New'!$D:$D,'Modelling New'!O:O),"")</f>
        <v>0.83889907823519261</v>
      </c>
      <c r="AF205" s="222">
        <f>IFERROR(_xlfn.XLOOKUP($D205,'Modelling New'!$D:$D,'Modelling New'!W:W),"")</f>
        <v>0.20363598592644594</v>
      </c>
      <c r="AG205" s="222">
        <f>IFERROR(_xlfn.XLOOKUP($D205,'Modelling New'!$D:$D,'Modelling New'!AE:AE),"")</f>
        <v>0.995</v>
      </c>
      <c r="AH205" s="222">
        <f>IFERROR(_xlfn.XLOOKUP($D205,'Modelling New'!$D:$D,'Modelling New'!AF:AF),"")</f>
        <v>0.995</v>
      </c>
      <c r="AI205" s="9"/>
      <c r="AJ205" s="9"/>
      <c r="AK205" s="245"/>
      <c r="AL205" s="245"/>
      <c r="AM205" s="245"/>
      <c r="AN205" s="219"/>
      <c r="AO205" s="222"/>
      <c r="AP205" s="222"/>
      <c r="AQ205" s="222"/>
      <c r="AR205" s="223">
        <f>_xlfn.XLOOKUP(D205,'Modelling New'!$D:$D,'Modelling New'!$N:$N)</f>
        <v>130</v>
      </c>
      <c r="AS205" s="223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18">
        <f>Table13[[#This Row],[Date]]-DAY(Table13[[#This Row],[Date]])+1</f>
        <v>45931</v>
      </c>
      <c r="E206" s="9">
        <f t="shared" si="15"/>
        <v>31</v>
      </c>
      <c r="F206" s="188" t="str">
        <f>IFERROR(_xlfn.XLOOKUP($A206,Input_Raw!$A:$A,Input_Raw!$FC:$FC),"")</f>
        <v/>
      </c>
      <c r="G206" s="189" t="str">
        <f>IFERROR(_xlfn.XLOOKUP($A206,Input_Raw!$A:$A,Input_Raw!$CY:$CY),"")</f>
        <v/>
      </c>
      <c r="H206" s="189" t="str">
        <f>IFERROR(_xlfn.XLOOKUP($A206,Input_Raw!$A:$A,Input_Raw!$DA:$DA),"")</f>
        <v/>
      </c>
      <c r="I206" s="189" t="str">
        <f>IFERROR(_xlfn.XLOOKUP($A206,Input_Raw!$A:$A,Input_Raw!$CX:$CX),"")</f>
        <v/>
      </c>
      <c r="J206" s="189" t="str">
        <f>IFERROR(_xlfn.XLOOKUP($A206,Input_Raw!$A:$A,Input_Raw!$CZ:$CZ),"")</f>
        <v/>
      </c>
      <c r="K206" s="190" t="str">
        <f>IFERROR(_xlfn.XLOOKUP($A206,Input_Raw!$A:$A,Input_Raw!$DB:$DB),"")</f>
        <v/>
      </c>
      <c r="L206" s="190" t="str">
        <f>IFERROR(_xlfn.XLOOKUP($A206,Input_Raw!$A:$A,Input_Raw!$DC:$DC),"")</f>
        <v/>
      </c>
      <c r="M206" s="189" t="str">
        <f>IFERROR(_xlfn.XLOOKUP($A206,Input_Raw!$A:$A,Input_Raw!$DF:$DF),"")</f>
        <v/>
      </c>
      <c r="N206" s="189" t="str">
        <f>IFERROR(_xlfn.XLOOKUP($A206,Input_Raw!$A:$A,Input_Raw!$DG:$DG),"")</f>
        <v/>
      </c>
      <c r="O206" s="219" t="str">
        <f>IFERROR(1-(SUMIF(Plant_BD!$B:$B,$A206,Plant_BD!$AL:$AL)/($AA206+SUMIF(Plant_BD!$B:$B,$A206,Plant_BD!$AL:$AL))),"")</f>
        <v/>
      </c>
      <c r="P206" s="219"/>
      <c r="Q206" s="220" t="str">
        <f>IFERROR(1-(SUMIF(Grid_BD!$B:$B,$A206,Grid_BD!$V:$V)/($AA206+SUMIF(Grid_BD!$B:$B,$A206,Grid_BD!$V:$V))),"")</f>
        <v/>
      </c>
      <c r="R206" s="219" t="str">
        <f>IFERROR(1-(SUMIF(Grid_BD!$B:$B,$A206,Grid_BD!$V:$V)/($AA206+SUMIF(Grid_BD!$B:$B,$A206,Grid_BD!$V:$V))),"")</f>
        <v/>
      </c>
      <c r="S206" s="9"/>
      <c r="T206" s="220"/>
      <c r="U206" s="221" t="str">
        <f t="shared" si="16"/>
        <v/>
      </c>
      <c r="V206" s="221" t="str">
        <f>IFERROR(_xlfn.XLOOKUP($A206,Input_Raw!$A:$A,Input_Raw!$FG:$FG),"")</f>
        <v/>
      </c>
      <c r="W206" s="222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78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22">
        <f>IFERROR(_xlfn.XLOOKUP($D206,'Modelling New'!$D:$D,'Modelling New'!O:O),"")</f>
        <v>0.83889907823519261</v>
      </c>
      <c r="AF206" s="222">
        <f>IFERROR(_xlfn.XLOOKUP($D206,'Modelling New'!$D:$D,'Modelling New'!W:W),"")</f>
        <v>0.20363598592644594</v>
      </c>
      <c r="AG206" s="222">
        <f>IFERROR(_xlfn.XLOOKUP($D206,'Modelling New'!$D:$D,'Modelling New'!AE:AE),"")</f>
        <v>0.995</v>
      </c>
      <c r="AH206" s="222">
        <f>IFERROR(_xlfn.XLOOKUP($D206,'Modelling New'!$D:$D,'Modelling New'!AF:AF),"")</f>
        <v>0.995</v>
      </c>
      <c r="AI206" s="9"/>
      <c r="AJ206" s="9"/>
      <c r="AK206" s="245"/>
      <c r="AL206" s="245"/>
      <c r="AM206" s="245"/>
      <c r="AN206" s="219"/>
      <c r="AO206" s="222"/>
      <c r="AP206" s="222"/>
      <c r="AQ206" s="222"/>
      <c r="AR206" s="223">
        <f>_xlfn.XLOOKUP(D206,'Modelling New'!$D:$D,'Modelling New'!$N:$N)</f>
        <v>130</v>
      </c>
      <c r="AS206" s="223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18">
        <f>Table13[[#This Row],[Date]]-DAY(Table13[[#This Row],[Date]])+1</f>
        <v>45931</v>
      </c>
      <c r="E207" s="9">
        <f t="shared" si="15"/>
        <v>31</v>
      </c>
      <c r="F207" s="188" t="str">
        <f>IFERROR(_xlfn.XLOOKUP($A207,Input_Raw!$A:$A,Input_Raw!$FC:$FC),"")</f>
        <v/>
      </c>
      <c r="G207" s="178" t="str">
        <f>IFERROR(_xlfn.XLOOKUP($A207,Input_Raw!$A:$A,Input_Raw!$CY:$CY),"")</f>
        <v/>
      </c>
      <c r="H207" s="178" t="str">
        <f>IFERROR(_xlfn.XLOOKUP($A207,Input_Raw!$A:$A,Input_Raw!$DA:$DA),"")</f>
        <v/>
      </c>
      <c r="I207" s="178" t="str">
        <f>IFERROR(_xlfn.XLOOKUP($A207,Input_Raw!$A:$A,Input_Raw!$CX:$CX),"")</f>
        <v/>
      </c>
      <c r="J207" s="178" t="str">
        <f>IFERROR(_xlfn.XLOOKUP($A207,Input_Raw!$A:$A,Input_Raw!$CZ:$CZ),"")</f>
        <v/>
      </c>
      <c r="K207" s="190" t="str">
        <f>IFERROR(_xlfn.XLOOKUP($A207,Input_Raw!$A:$A,Input_Raw!$DB:$DB),"")</f>
        <v/>
      </c>
      <c r="L207" s="190" t="str">
        <f>IFERROR(_xlfn.XLOOKUP($A207,Input_Raw!$A:$A,Input_Raw!$DC:$DC),"")</f>
        <v/>
      </c>
      <c r="M207" s="189" t="str">
        <f>IFERROR(_xlfn.XLOOKUP($A207,Input_Raw!$A:$A,Input_Raw!$DF:$DF),"")</f>
        <v/>
      </c>
      <c r="N207" s="189" t="str">
        <f>IFERROR(_xlfn.XLOOKUP($A207,Input_Raw!$A:$A,Input_Raw!$DG:$DG),"")</f>
        <v/>
      </c>
      <c r="O207" s="219" t="str">
        <f>IFERROR(1-(SUMIF(Plant_BD!$B:$B,$A207,Plant_BD!$AL:$AL)/($AA207+SUMIF(Plant_BD!$B:$B,$A207,Plant_BD!$AL:$AL))),"")</f>
        <v/>
      </c>
      <c r="P207" s="219"/>
      <c r="Q207" s="220" t="str">
        <f>IFERROR(1-(SUMIF(Grid_BD!$B:$B,$A207,Grid_BD!$V:$V)/($AA207+SUMIF(Grid_BD!$B:$B,$A207,Grid_BD!$V:$V))),"")</f>
        <v/>
      </c>
      <c r="R207" s="219" t="str">
        <f>IFERROR(1-(SUMIF(Grid_BD!$B:$B,$A207,Grid_BD!$V:$V)/($AA207+SUMIF(Grid_BD!$B:$B,$A207,Grid_BD!$V:$V))),"")</f>
        <v/>
      </c>
      <c r="S207" s="9"/>
      <c r="T207" s="220"/>
      <c r="U207" s="221" t="str">
        <f t="shared" si="16"/>
        <v/>
      </c>
      <c r="V207" s="221" t="str">
        <f>IFERROR(_xlfn.XLOOKUP($A207,Input_Raw!$A:$A,Input_Raw!$FG:$FG),"")</f>
        <v/>
      </c>
      <c r="W207" s="222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78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22">
        <f>IFERROR(_xlfn.XLOOKUP($D207,'Modelling New'!$D:$D,'Modelling New'!O:O),"")</f>
        <v>0.83889907823519261</v>
      </c>
      <c r="AF207" s="222">
        <f>IFERROR(_xlfn.XLOOKUP($D207,'Modelling New'!$D:$D,'Modelling New'!W:W),"")</f>
        <v>0.20363598592644594</v>
      </c>
      <c r="AG207" s="222">
        <f>IFERROR(_xlfn.XLOOKUP($D207,'Modelling New'!$D:$D,'Modelling New'!AE:AE),"")</f>
        <v>0.995</v>
      </c>
      <c r="AH207" s="222">
        <f>IFERROR(_xlfn.XLOOKUP($D207,'Modelling New'!$D:$D,'Modelling New'!AF:AF),"")</f>
        <v>0.995</v>
      </c>
      <c r="AI207" s="9"/>
      <c r="AJ207" s="9"/>
      <c r="AK207" s="245"/>
      <c r="AL207" s="245"/>
      <c r="AM207" s="245"/>
      <c r="AN207" s="219"/>
      <c r="AO207" s="222"/>
      <c r="AP207" s="222"/>
      <c r="AQ207" s="222"/>
      <c r="AR207" s="223">
        <f>_xlfn.XLOOKUP(D207,'Modelling New'!$D:$D,'Modelling New'!$N:$N)</f>
        <v>130</v>
      </c>
      <c r="AS207" s="223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18">
        <f>Table13[[#This Row],[Date]]-DAY(Table13[[#This Row],[Date]])+1</f>
        <v>45931</v>
      </c>
      <c r="E208" s="9">
        <f t="shared" si="15"/>
        <v>31</v>
      </c>
      <c r="F208" s="188" t="str">
        <f>IFERROR(_xlfn.XLOOKUP($A208,Input_Raw!$A:$A,Input_Raw!$FC:$FC),"")</f>
        <v/>
      </c>
      <c r="G208" s="189" t="str">
        <f>IFERROR(_xlfn.XLOOKUP($A208,Input_Raw!$A:$A,Input_Raw!$CY:$CY),"")</f>
        <v/>
      </c>
      <c r="H208" s="189" t="str">
        <f>IFERROR(_xlfn.XLOOKUP($A208,Input_Raw!$A:$A,Input_Raw!$DA:$DA),"")</f>
        <v/>
      </c>
      <c r="I208" s="189" t="str">
        <f>IFERROR(_xlfn.XLOOKUP($A208,Input_Raw!$A:$A,Input_Raw!$CX:$CX),"")</f>
        <v/>
      </c>
      <c r="J208" s="189" t="str">
        <f>IFERROR(_xlfn.XLOOKUP($A208,Input_Raw!$A:$A,Input_Raw!$CZ:$CZ),"")</f>
        <v/>
      </c>
      <c r="K208" s="190" t="str">
        <f>IFERROR(_xlfn.XLOOKUP($A208,Input_Raw!$A:$A,Input_Raw!$DB:$DB),"")</f>
        <v/>
      </c>
      <c r="L208" s="190" t="str">
        <f>IFERROR(_xlfn.XLOOKUP($A208,Input_Raw!$A:$A,Input_Raw!$DC:$DC),"")</f>
        <v/>
      </c>
      <c r="M208" s="189" t="str">
        <f>IFERROR(_xlfn.XLOOKUP($A208,Input_Raw!$A:$A,Input_Raw!$DF:$DF),"")</f>
        <v/>
      </c>
      <c r="N208" s="189" t="str">
        <f>IFERROR(_xlfn.XLOOKUP($A208,Input_Raw!$A:$A,Input_Raw!$DG:$DG),"")</f>
        <v/>
      </c>
      <c r="O208" s="219" t="str">
        <f>IFERROR(1-(SUMIF(Plant_BD!$B:$B,$A208,Plant_BD!$AL:$AL)/($AA208+SUMIF(Plant_BD!$B:$B,$A208,Plant_BD!$AL:$AL))),"")</f>
        <v/>
      </c>
      <c r="P208" s="219"/>
      <c r="Q208" s="220" t="str">
        <f>IFERROR(1-(SUMIF(Grid_BD!$B:$B,$A208,Grid_BD!$V:$V)/($AA208+SUMIF(Grid_BD!$B:$B,$A208,Grid_BD!$V:$V))),"")</f>
        <v/>
      </c>
      <c r="R208" s="219" t="str">
        <f>IFERROR(1-(SUMIF(Grid_BD!$B:$B,$A208,Grid_BD!$V:$V)/($AA208+SUMIF(Grid_BD!$B:$B,$A208,Grid_BD!$V:$V))),"")</f>
        <v/>
      </c>
      <c r="S208" s="9"/>
      <c r="T208" s="220"/>
      <c r="U208" s="221" t="str">
        <f t="shared" si="16"/>
        <v/>
      </c>
      <c r="V208" s="221" t="str">
        <f>IFERROR(_xlfn.XLOOKUP($A208,Input_Raw!$A:$A,Input_Raw!$FG:$FG),"")</f>
        <v/>
      </c>
      <c r="W208" s="222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78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22">
        <f>IFERROR(_xlfn.XLOOKUP($D208,'Modelling New'!$D:$D,'Modelling New'!O:O),"")</f>
        <v>0.83889907823519261</v>
      </c>
      <c r="AF208" s="222">
        <f>IFERROR(_xlfn.XLOOKUP($D208,'Modelling New'!$D:$D,'Modelling New'!W:W),"")</f>
        <v>0.20363598592644594</v>
      </c>
      <c r="AG208" s="222">
        <f>IFERROR(_xlfn.XLOOKUP($D208,'Modelling New'!$D:$D,'Modelling New'!AE:AE),"")</f>
        <v>0.995</v>
      </c>
      <c r="AH208" s="222">
        <f>IFERROR(_xlfn.XLOOKUP($D208,'Modelling New'!$D:$D,'Modelling New'!AF:AF),"")</f>
        <v>0.995</v>
      </c>
      <c r="AI208" s="9"/>
      <c r="AJ208" s="9"/>
      <c r="AK208" s="245"/>
      <c r="AL208" s="245"/>
      <c r="AM208" s="245"/>
      <c r="AN208" s="219"/>
      <c r="AO208" s="222"/>
      <c r="AP208" s="222"/>
      <c r="AQ208" s="222"/>
      <c r="AR208" s="223">
        <f>_xlfn.XLOOKUP(D208,'Modelling New'!$D:$D,'Modelling New'!$N:$N)</f>
        <v>130</v>
      </c>
      <c r="AS208" s="223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18">
        <f>Table13[[#This Row],[Date]]-DAY(Table13[[#This Row],[Date]])+1</f>
        <v>45931</v>
      </c>
      <c r="E209" s="9">
        <f t="shared" si="15"/>
        <v>31</v>
      </c>
      <c r="F209" s="188" t="str">
        <f>IFERROR(_xlfn.XLOOKUP($A209,Input_Raw!$A:$A,Input_Raw!$FC:$FC),"")</f>
        <v/>
      </c>
      <c r="G209" s="178" t="str">
        <f>IFERROR(_xlfn.XLOOKUP($A209,Input_Raw!$A:$A,Input_Raw!$CY:$CY),"")</f>
        <v/>
      </c>
      <c r="H209" s="178" t="str">
        <f>IFERROR(_xlfn.XLOOKUP($A209,Input_Raw!$A:$A,Input_Raw!$DA:$DA),"")</f>
        <v/>
      </c>
      <c r="I209" s="178" t="str">
        <f>IFERROR(_xlfn.XLOOKUP($A209,Input_Raw!$A:$A,Input_Raw!$CX:$CX),"")</f>
        <v/>
      </c>
      <c r="J209" s="178" t="str">
        <f>IFERROR(_xlfn.XLOOKUP($A209,Input_Raw!$A:$A,Input_Raw!$CZ:$CZ),"")</f>
        <v/>
      </c>
      <c r="K209" s="190" t="str">
        <f>IFERROR(_xlfn.XLOOKUP($A209,Input_Raw!$A:$A,Input_Raw!$DB:$DB),"")</f>
        <v/>
      </c>
      <c r="L209" s="190" t="str">
        <f>IFERROR(_xlfn.XLOOKUP($A209,Input_Raw!$A:$A,Input_Raw!$DC:$DC),"")</f>
        <v/>
      </c>
      <c r="M209" s="189" t="str">
        <f>IFERROR(_xlfn.XLOOKUP($A209,Input_Raw!$A:$A,Input_Raw!$DF:$DF),"")</f>
        <v/>
      </c>
      <c r="N209" s="189" t="str">
        <f>IFERROR(_xlfn.XLOOKUP($A209,Input_Raw!$A:$A,Input_Raw!$DG:$DG),"")</f>
        <v/>
      </c>
      <c r="O209" s="219" t="str">
        <f>IFERROR(1-(SUMIF(Plant_BD!$B:$B,$A209,Plant_BD!$AL:$AL)/($AA209+SUMIF(Plant_BD!$B:$B,$A209,Plant_BD!$AL:$AL))),"")</f>
        <v/>
      </c>
      <c r="P209" s="219"/>
      <c r="Q209" s="220" t="str">
        <f>IFERROR(1-(SUMIF(Grid_BD!$B:$B,$A209,Grid_BD!$V:$V)/($AA209+SUMIF(Grid_BD!$B:$B,$A209,Grid_BD!$V:$V))),"")</f>
        <v/>
      </c>
      <c r="R209" s="219" t="str">
        <f>IFERROR(1-(SUMIF(Grid_BD!$B:$B,$A209,Grid_BD!$V:$V)/($AA209+SUMIF(Grid_BD!$B:$B,$A209,Grid_BD!$V:$V))),"")</f>
        <v/>
      </c>
      <c r="S209" s="9"/>
      <c r="T209" s="220"/>
      <c r="U209" s="221" t="str">
        <f t="shared" si="16"/>
        <v/>
      </c>
      <c r="V209" s="221" t="str">
        <f>IFERROR(_xlfn.XLOOKUP($A209,Input_Raw!$A:$A,Input_Raw!$FG:$FG),"")</f>
        <v/>
      </c>
      <c r="W209" s="222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78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22">
        <f>IFERROR(_xlfn.XLOOKUP($D209,'Modelling New'!$D:$D,'Modelling New'!O:O),"")</f>
        <v>0.83889907823519261</v>
      </c>
      <c r="AF209" s="222">
        <f>IFERROR(_xlfn.XLOOKUP($D209,'Modelling New'!$D:$D,'Modelling New'!W:W),"")</f>
        <v>0.20363598592644594</v>
      </c>
      <c r="AG209" s="222">
        <f>IFERROR(_xlfn.XLOOKUP($D209,'Modelling New'!$D:$D,'Modelling New'!AE:AE),"")</f>
        <v>0.995</v>
      </c>
      <c r="AH209" s="222">
        <f>IFERROR(_xlfn.XLOOKUP($D209,'Modelling New'!$D:$D,'Modelling New'!AF:AF),"")</f>
        <v>0.995</v>
      </c>
      <c r="AI209" s="9"/>
      <c r="AJ209" s="9"/>
      <c r="AK209" s="245"/>
      <c r="AL209" s="245"/>
      <c r="AM209" s="245"/>
      <c r="AN209" s="219"/>
      <c r="AO209" s="222"/>
      <c r="AP209" s="222"/>
      <c r="AQ209" s="222"/>
      <c r="AR209" s="223">
        <f>_xlfn.XLOOKUP(D209,'Modelling New'!$D:$D,'Modelling New'!$N:$N)</f>
        <v>130</v>
      </c>
      <c r="AS209" s="223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18">
        <f>Table13[[#This Row],[Date]]-DAY(Table13[[#This Row],[Date]])+1</f>
        <v>45931</v>
      </c>
      <c r="E210" s="9">
        <f t="shared" si="15"/>
        <v>31</v>
      </c>
      <c r="F210" s="188" t="str">
        <f>IFERROR(_xlfn.XLOOKUP($A210,Input_Raw!$A:$A,Input_Raw!$FC:$FC),"")</f>
        <v/>
      </c>
      <c r="G210" s="189" t="str">
        <f>IFERROR(_xlfn.XLOOKUP($A210,Input_Raw!$A:$A,Input_Raw!$CY:$CY),"")</f>
        <v/>
      </c>
      <c r="H210" s="189" t="str">
        <f>IFERROR(_xlfn.XLOOKUP($A210,Input_Raw!$A:$A,Input_Raw!$DA:$DA),"")</f>
        <v/>
      </c>
      <c r="I210" s="189" t="str">
        <f>IFERROR(_xlfn.XLOOKUP($A210,Input_Raw!$A:$A,Input_Raw!$CX:$CX),"")</f>
        <v/>
      </c>
      <c r="J210" s="189" t="str">
        <f>IFERROR(_xlfn.XLOOKUP($A210,Input_Raw!$A:$A,Input_Raw!$CZ:$CZ),"")</f>
        <v/>
      </c>
      <c r="K210" s="190" t="str">
        <f>IFERROR(_xlfn.XLOOKUP($A210,Input_Raw!$A:$A,Input_Raw!$DB:$DB),"")</f>
        <v/>
      </c>
      <c r="L210" s="190" t="str">
        <f>IFERROR(_xlfn.XLOOKUP($A210,Input_Raw!$A:$A,Input_Raw!$DC:$DC),"")</f>
        <v/>
      </c>
      <c r="M210" s="189" t="str">
        <f>IFERROR(_xlfn.XLOOKUP($A210,Input_Raw!$A:$A,Input_Raw!$DF:$DF),"")</f>
        <v/>
      </c>
      <c r="N210" s="189" t="str">
        <f>IFERROR(_xlfn.XLOOKUP($A210,Input_Raw!$A:$A,Input_Raw!$DG:$DG),"")</f>
        <v/>
      </c>
      <c r="O210" s="219" t="str">
        <f>IFERROR(1-(SUMIF(Plant_BD!$B:$B,$A210,Plant_BD!$AL:$AL)/($AA210+SUMIF(Plant_BD!$B:$B,$A210,Plant_BD!$AL:$AL))),"")</f>
        <v/>
      </c>
      <c r="P210" s="219"/>
      <c r="Q210" s="220" t="str">
        <f>IFERROR(1-(SUMIF(Grid_BD!$B:$B,$A210,Grid_BD!$V:$V)/($AA210+SUMIF(Grid_BD!$B:$B,$A210,Grid_BD!$V:$V))),"")</f>
        <v/>
      </c>
      <c r="R210" s="219" t="str">
        <f>IFERROR(1-(SUMIF(Grid_BD!$B:$B,$A210,Grid_BD!$V:$V)/($AA210+SUMIF(Grid_BD!$B:$B,$A210,Grid_BD!$V:$V))),"")</f>
        <v/>
      </c>
      <c r="S210" s="9"/>
      <c r="T210" s="220"/>
      <c r="U210" s="221" t="str">
        <f t="shared" si="16"/>
        <v/>
      </c>
      <c r="V210" s="221" t="str">
        <f>IFERROR(_xlfn.XLOOKUP($A210,Input_Raw!$A:$A,Input_Raw!$FG:$FG),"")</f>
        <v/>
      </c>
      <c r="W210" s="222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78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22">
        <f>IFERROR(_xlfn.XLOOKUP($D210,'Modelling New'!$D:$D,'Modelling New'!O:O),"")</f>
        <v>0.83889907823519261</v>
      </c>
      <c r="AF210" s="222">
        <f>IFERROR(_xlfn.XLOOKUP($D210,'Modelling New'!$D:$D,'Modelling New'!W:W),"")</f>
        <v>0.20363598592644594</v>
      </c>
      <c r="AG210" s="222">
        <f>IFERROR(_xlfn.XLOOKUP($D210,'Modelling New'!$D:$D,'Modelling New'!AE:AE),"")</f>
        <v>0.995</v>
      </c>
      <c r="AH210" s="222">
        <f>IFERROR(_xlfn.XLOOKUP($D210,'Modelling New'!$D:$D,'Modelling New'!AF:AF),"")</f>
        <v>0.995</v>
      </c>
      <c r="AI210" s="9"/>
      <c r="AJ210" s="9"/>
      <c r="AK210" s="245"/>
      <c r="AL210" s="245"/>
      <c r="AM210" s="245"/>
      <c r="AN210" s="219"/>
      <c r="AO210" s="222"/>
      <c r="AP210" s="222"/>
      <c r="AQ210" s="222"/>
      <c r="AR210" s="223">
        <f>_xlfn.XLOOKUP(D210,'Modelling New'!$D:$D,'Modelling New'!$N:$N)</f>
        <v>130</v>
      </c>
      <c r="AS210" s="223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18">
        <f>Table13[[#This Row],[Date]]-DAY(Table13[[#This Row],[Date]])+1</f>
        <v>45931</v>
      </c>
      <c r="E211" s="9">
        <f t="shared" si="15"/>
        <v>31</v>
      </c>
      <c r="F211" s="188" t="str">
        <f>IFERROR(_xlfn.XLOOKUP($A211,Input_Raw!$A:$A,Input_Raw!$FC:$FC),"")</f>
        <v/>
      </c>
      <c r="G211" s="178" t="str">
        <f>IFERROR(_xlfn.XLOOKUP($A211,Input_Raw!$A:$A,Input_Raw!$CY:$CY),"")</f>
        <v/>
      </c>
      <c r="H211" s="178" t="str">
        <f>IFERROR(_xlfn.XLOOKUP($A211,Input_Raw!$A:$A,Input_Raw!$DA:$DA),"")</f>
        <v/>
      </c>
      <c r="I211" s="178" t="str">
        <f>IFERROR(_xlfn.XLOOKUP($A211,Input_Raw!$A:$A,Input_Raw!$CX:$CX),"")</f>
        <v/>
      </c>
      <c r="J211" s="178" t="str">
        <f>IFERROR(_xlfn.XLOOKUP($A211,Input_Raw!$A:$A,Input_Raw!$CZ:$CZ),"")</f>
        <v/>
      </c>
      <c r="K211" s="190" t="str">
        <f>IFERROR(_xlfn.XLOOKUP($A211,Input_Raw!$A:$A,Input_Raw!$DB:$DB),"")</f>
        <v/>
      </c>
      <c r="L211" s="190" t="str">
        <f>IFERROR(_xlfn.XLOOKUP($A211,Input_Raw!$A:$A,Input_Raw!$DC:$DC),"")</f>
        <v/>
      </c>
      <c r="M211" s="189" t="str">
        <f>IFERROR(_xlfn.XLOOKUP($A211,Input_Raw!$A:$A,Input_Raw!$DF:$DF),"")</f>
        <v/>
      </c>
      <c r="N211" s="189" t="str">
        <f>IFERROR(_xlfn.XLOOKUP($A211,Input_Raw!$A:$A,Input_Raw!$DG:$DG),"")</f>
        <v/>
      </c>
      <c r="O211" s="219" t="str">
        <f>IFERROR(1-(SUMIF(Plant_BD!$B:$B,$A211,Plant_BD!$AL:$AL)/($AA211+SUMIF(Plant_BD!$B:$B,$A211,Plant_BD!$AL:$AL))),"")</f>
        <v/>
      </c>
      <c r="P211" s="219"/>
      <c r="Q211" s="220" t="str">
        <f>IFERROR(1-(SUMIF(Grid_BD!$B:$B,$A211,Grid_BD!$V:$V)/($AA211+SUMIF(Grid_BD!$B:$B,$A211,Grid_BD!$V:$V))),"")</f>
        <v/>
      </c>
      <c r="R211" s="219" t="str">
        <f>IFERROR(1-(SUMIF(Grid_BD!$B:$B,$A211,Grid_BD!$V:$V)/($AA211+SUMIF(Grid_BD!$B:$B,$A211,Grid_BD!$V:$V))),"")</f>
        <v/>
      </c>
      <c r="S211" s="9"/>
      <c r="T211" s="220"/>
      <c r="U211" s="221" t="str">
        <f t="shared" si="16"/>
        <v/>
      </c>
      <c r="V211" s="221" t="str">
        <f>IFERROR(_xlfn.XLOOKUP($A211,Input_Raw!$A:$A,Input_Raw!$FG:$FG),"")</f>
        <v/>
      </c>
      <c r="W211" s="222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78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22">
        <f>IFERROR(_xlfn.XLOOKUP($D211,'Modelling New'!$D:$D,'Modelling New'!O:O),"")</f>
        <v>0.83889907823519261</v>
      </c>
      <c r="AF211" s="222">
        <f>IFERROR(_xlfn.XLOOKUP($D211,'Modelling New'!$D:$D,'Modelling New'!W:W),"")</f>
        <v>0.20363598592644594</v>
      </c>
      <c r="AG211" s="222">
        <f>IFERROR(_xlfn.XLOOKUP($D211,'Modelling New'!$D:$D,'Modelling New'!AE:AE),"")</f>
        <v>0.995</v>
      </c>
      <c r="AH211" s="222">
        <f>IFERROR(_xlfn.XLOOKUP($D211,'Modelling New'!$D:$D,'Modelling New'!AF:AF),"")</f>
        <v>0.995</v>
      </c>
      <c r="AI211" s="9"/>
      <c r="AJ211" s="9"/>
      <c r="AK211" s="245"/>
      <c r="AL211" s="245"/>
      <c r="AM211" s="245"/>
      <c r="AN211" s="219"/>
      <c r="AO211" s="222"/>
      <c r="AP211" s="222"/>
      <c r="AQ211" s="222"/>
      <c r="AR211" s="223">
        <f>_xlfn.XLOOKUP(D211,'Modelling New'!$D:$D,'Modelling New'!$N:$N)</f>
        <v>130</v>
      </c>
      <c r="AS211" s="223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18">
        <f>Table13[[#This Row],[Date]]-DAY(Table13[[#This Row],[Date]])+1</f>
        <v>45931</v>
      </c>
      <c r="E212" s="9">
        <f t="shared" si="15"/>
        <v>31</v>
      </c>
      <c r="F212" s="188" t="str">
        <f>IFERROR(_xlfn.XLOOKUP($A212,Input_Raw!$A:$A,Input_Raw!$FC:$FC),"")</f>
        <v/>
      </c>
      <c r="G212" s="189" t="str">
        <f>IFERROR(_xlfn.XLOOKUP($A212,Input_Raw!$A:$A,Input_Raw!$CY:$CY),"")</f>
        <v/>
      </c>
      <c r="H212" s="189" t="str">
        <f>IFERROR(_xlfn.XLOOKUP($A212,Input_Raw!$A:$A,Input_Raw!$DA:$DA),"")</f>
        <v/>
      </c>
      <c r="I212" s="189" t="str">
        <f>IFERROR(_xlfn.XLOOKUP($A212,Input_Raw!$A:$A,Input_Raw!$CX:$CX),"")</f>
        <v/>
      </c>
      <c r="J212" s="189" t="str">
        <f>IFERROR(_xlfn.XLOOKUP($A212,Input_Raw!$A:$A,Input_Raw!$CZ:$CZ),"")</f>
        <v/>
      </c>
      <c r="K212" s="190" t="str">
        <f>IFERROR(_xlfn.XLOOKUP($A212,Input_Raw!$A:$A,Input_Raw!$DB:$DB),"")</f>
        <v/>
      </c>
      <c r="L212" s="190" t="str">
        <f>IFERROR(_xlfn.XLOOKUP($A212,Input_Raw!$A:$A,Input_Raw!$DC:$DC),"")</f>
        <v/>
      </c>
      <c r="M212" s="189" t="str">
        <f>IFERROR(_xlfn.XLOOKUP($A212,Input_Raw!$A:$A,Input_Raw!$DF:$DF),"")</f>
        <v/>
      </c>
      <c r="N212" s="189" t="str">
        <f>IFERROR(_xlfn.XLOOKUP($A212,Input_Raw!$A:$A,Input_Raw!$DG:$DG),"")</f>
        <v/>
      </c>
      <c r="O212" s="219" t="str">
        <f>IFERROR(1-(SUMIF(Plant_BD!$B:$B,$A212,Plant_BD!$AL:$AL)/($AA212+SUMIF(Plant_BD!$B:$B,$A212,Plant_BD!$AL:$AL))),"")</f>
        <v/>
      </c>
      <c r="P212" s="219"/>
      <c r="Q212" s="220" t="str">
        <f>IFERROR(1-(SUMIF(Grid_BD!$B:$B,$A212,Grid_BD!$V:$V)/($AA212+SUMIF(Grid_BD!$B:$B,$A212,Grid_BD!$V:$V))),"")</f>
        <v/>
      </c>
      <c r="R212" s="219" t="str">
        <f>IFERROR(1-(SUMIF(Grid_BD!$B:$B,$A212,Grid_BD!$V:$V)/($AA212+SUMIF(Grid_BD!$B:$B,$A212,Grid_BD!$V:$V))),"")</f>
        <v/>
      </c>
      <c r="S212" s="9"/>
      <c r="T212" s="220"/>
      <c r="U212" s="221" t="str">
        <f t="shared" si="16"/>
        <v/>
      </c>
      <c r="V212" s="221" t="str">
        <f>IFERROR(_xlfn.XLOOKUP($A212,Input_Raw!$A:$A,Input_Raw!$FG:$FG),"")</f>
        <v/>
      </c>
      <c r="W212" s="222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78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22">
        <f>IFERROR(_xlfn.XLOOKUP($D212,'Modelling New'!$D:$D,'Modelling New'!O:O),"")</f>
        <v>0.83889907823519261</v>
      </c>
      <c r="AF212" s="222">
        <f>IFERROR(_xlfn.XLOOKUP($D212,'Modelling New'!$D:$D,'Modelling New'!W:W),"")</f>
        <v>0.20363598592644594</v>
      </c>
      <c r="AG212" s="222">
        <f>IFERROR(_xlfn.XLOOKUP($D212,'Modelling New'!$D:$D,'Modelling New'!AE:AE),"")</f>
        <v>0.995</v>
      </c>
      <c r="AH212" s="222">
        <f>IFERROR(_xlfn.XLOOKUP($D212,'Modelling New'!$D:$D,'Modelling New'!AF:AF),"")</f>
        <v>0.995</v>
      </c>
      <c r="AI212" s="9"/>
      <c r="AJ212" s="9"/>
      <c r="AK212" s="245"/>
      <c r="AL212" s="245"/>
      <c r="AM212" s="245"/>
      <c r="AN212" s="219"/>
      <c r="AO212" s="222"/>
      <c r="AP212" s="222"/>
      <c r="AQ212" s="222"/>
      <c r="AR212" s="223">
        <f>_xlfn.XLOOKUP(D212,'Modelling New'!$D:$D,'Modelling New'!$N:$N)</f>
        <v>130</v>
      </c>
      <c r="AS212" s="223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18">
        <f>Table13[[#This Row],[Date]]-DAY(Table13[[#This Row],[Date]])+1</f>
        <v>45931</v>
      </c>
      <c r="E213" s="9">
        <f t="shared" si="15"/>
        <v>31</v>
      </c>
      <c r="F213" s="188" t="str">
        <f>IFERROR(_xlfn.XLOOKUP($A213,Input_Raw!$A:$A,Input_Raw!$FC:$FC),"")</f>
        <v/>
      </c>
      <c r="G213" s="178" t="str">
        <f>IFERROR(_xlfn.XLOOKUP($A213,Input_Raw!$A:$A,Input_Raw!$CY:$CY),"")</f>
        <v/>
      </c>
      <c r="H213" s="178" t="str">
        <f>IFERROR(_xlfn.XLOOKUP($A213,Input_Raw!$A:$A,Input_Raw!$DA:$DA),"")</f>
        <v/>
      </c>
      <c r="I213" s="178" t="str">
        <f>IFERROR(_xlfn.XLOOKUP($A213,Input_Raw!$A:$A,Input_Raw!$CX:$CX),"")</f>
        <v/>
      </c>
      <c r="J213" s="178" t="str">
        <f>IFERROR(_xlfn.XLOOKUP($A213,Input_Raw!$A:$A,Input_Raw!$CZ:$CZ),"")</f>
        <v/>
      </c>
      <c r="K213" s="190" t="str">
        <f>IFERROR(_xlfn.XLOOKUP($A213,Input_Raw!$A:$A,Input_Raw!$DB:$DB),"")</f>
        <v/>
      </c>
      <c r="L213" s="190" t="str">
        <f>IFERROR(_xlfn.XLOOKUP($A213,Input_Raw!$A:$A,Input_Raw!$DC:$DC),"")</f>
        <v/>
      </c>
      <c r="M213" s="189" t="str">
        <f>IFERROR(_xlfn.XLOOKUP($A213,Input_Raw!$A:$A,Input_Raw!$DF:$DF),"")</f>
        <v/>
      </c>
      <c r="N213" s="189" t="str">
        <f>IFERROR(_xlfn.XLOOKUP($A213,Input_Raw!$A:$A,Input_Raw!$DG:$DG),"")</f>
        <v/>
      </c>
      <c r="O213" s="219" t="str">
        <f>IFERROR(1-(SUMIF(Plant_BD!$B:$B,$A213,Plant_BD!$AL:$AL)/($AA213+SUMIF(Plant_BD!$B:$B,$A213,Plant_BD!$AL:$AL))),"")</f>
        <v/>
      </c>
      <c r="P213" s="219"/>
      <c r="Q213" s="220" t="str">
        <f>IFERROR(1-(SUMIF(Grid_BD!$B:$B,$A213,Grid_BD!$V:$V)/($AA213+SUMIF(Grid_BD!$B:$B,$A213,Grid_BD!$V:$V))),"")</f>
        <v/>
      </c>
      <c r="R213" s="219" t="str">
        <f>IFERROR(1-(SUMIF(Grid_BD!$B:$B,$A213,Grid_BD!$V:$V)/($AA213+SUMIF(Grid_BD!$B:$B,$A213,Grid_BD!$V:$V))),"")</f>
        <v/>
      </c>
      <c r="S213" s="9"/>
      <c r="T213" s="220"/>
      <c r="U213" s="221" t="str">
        <f t="shared" si="16"/>
        <v/>
      </c>
      <c r="V213" s="221" t="str">
        <f>IFERROR(_xlfn.XLOOKUP($A213,Input_Raw!$A:$A,Input_Raw!$FG:$FG),"")</f>
        <v/>
      </c>
      <c r="W213" s="222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78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22">
        <f>IFERROR(_xlfn.XLOOKUP($D213,'Modelling New'!$D:$D,'Modelling New'!O:O),"")</f>
        <v>0.83889907823519261</v>
      </c>
      <c r="AF213" s="222">
        <f>IFERROR(_xlfn.XLOOKUP($D213,'Modelling New'!$D:$D,'Modelling New'!W:W),"")</f>
        <v>0.20363598592644594</v>
      </c>
      <c r="AG213" s="222">
        <f>IFERROR(_xlfn.XLOOKUP($D213,'Modelling New'!$D:$D,'Modelling New'!AE:AE),"")</f>
        <v>0.995</v>
      </c>
      <c r="AH213" s="222">
        <f>IFERROR(_xlfn.XLOOKUP($D213,'Modelling New'!$D:$D,'Modelling New'!AF:AF),"")</f>
        <v>0.995</v>
      </c>
      <c r="AI213" s="9"/>
      <c r="AJ213" s="9"/>
      <c r="AK213" s="245"/>
      <c r="AL213" s="245"/>
      <c r="AM213" s="245"/>
      <c r="AN213" s="219"/>
      <c r="AO213" s="222"/>
      <c r="AP213" s="222"/>
      <c r="AQ213" s="222"/>
      <c r="AR213" s="223">
        <f>_xlfn.XLOOKUP(D213,'Modelling New'!$D:$D,'Modelling New'!$N:$N)</f>
        <v>130</v>
      </c>
      <c r="AS213" s="223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18">
        <f>Table13[[#This Row],[Date]]-DAY(Table13[[#This Row],[Date]])+1</f>
        <v>45931</v>
      </c>
      <c r="E214" s="9">
        <f t="shared" si="15"/>
        <v>31</v>
      </c>
      <c r="F214" s="188" t="str">
        <f>IFERROR(_xlfn.XLOOKUP($A214,Input_Raw!$A:$A,Input_Raw!$FC:$FC),"")</f>
        <v/>
      </c>
      <c r="G214" s="189" t="str">
        <f>IFERROR(_xlfn.XLOOKUP($A214,Input_Raw!$A:$A,Input_Raw!$CY:$CY),"")</f>
        <v/>
      </c>
      <c r="H214" s="189" t="str">
        <f>IFERROR(_xlfn.XLOOKUP($A214,Input_Raw!$A:$A,Input_Raw!$DA:$DA),"")</f>
        <v/>
      </c>
      <c r="I214" s="189" t="str">
        <f>IFERROR(_xlfn.XLOOKUP($A214,Input_Raw!$A:$A,Input_Raw!$CX:$CX),"")</f>
        <v/>
      </c>
      <c r="J214" s="189" t="str">
        <f>IFERROR(_xlfn.XLOOKUP($A214,Input_Raw!$A:$A,Input_Raw!$CZ:$CZ),"")</f>
        <v/>
      </c>
      <c r="K214" s="190" t="str">
        <f>IFERROR(_xlfn.XLOOKUP($A214,Input_Raw!$A:$A,Input_Raw!$DB:$DB),"")</f>
        <v/>
      </c>
      <c r="L214" s="190" t="str">
        <f>IFERROR(_xlfn.XLOOKUP($A214,Input_Raw!$A:$A,Input_Raw!$DC:$DC),"")</f>
        <v/>
      </c>
      <c r="M214" s="189" t="str">
        <f>IFERROR(_xlfn.XLOOKUP($A214,Input_Raw!$A:$A,Input_Raw!$DF:$DF),"")</f>
        <v/>
      </c>
      <c r="N214" s="189" t="str">
        <f>IFERROR(_xlfn.XLOOKUP($A214,Input_Raw!$A:$A,Input_Raw!$DG:$DG),"")</f>
        <v/>
      </c>
      <c r="O214" s="219" t="str">
        <f>IFERROR(1-(SUMIF(Plant_BD!$B:$B,$A214,Plant_BD!$AL:$AL)/($AA214+SUMIF(Plant_BD!$B:$B,$A214,Plant_BD!$AL:$AL))),"")</f>
        <v/>
      </c>
      <c r="P214" s="219"/>
      <c r="Q214" s="220" t="str">
        <f>IFERROR(1-(SUMIF(Grid_BD!$B:$B,$A214,Grid_BD!$V:$V)/($AA214+SUMIF(Grid_BD!$B:$B,$A214,Grid_BD!$V:$V))),"")</f>
        <v/>
      </c>
      <c r="R214" s="219" t="str">
        <f>IFERROR(1-(SUMIF(Grid_BD!$B:$B,$A214,Grid_BD!$V:$V)/($AA214+SUMIF(Grid_BD!$B:$B,$A214,Grid_BD!$V:$V))),"")</f>
        <v/>
      </c>
      <c r="S214" s="9"/>
      <c r="T214" s="220"/>
      <c r="U214" s="221" t="str">
        <f t="shared" si="16"/>
        <v/>
      </c>
      <c r="V214" s="221" t="str">
        <f>IFERROR(_xlfn.XLOOKUP($A214,Input_Raw!$A:$A,Input_Raw!$FG:$FG),"")</f>
        <v/>
      </c>
      <c r="W214" s="222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78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22">
        <f>IFERROR(_xlfn.XLOOKUP($D214,'Modelling New'!$D:$D,'Modelling New'!O:O),"")</f>
        <v>0.83889907823519261</v>
      </c>
      <c r="AF214" s="222">
        <f>IFERROR(_xlfn.XLOOKUP($D214,'Modelling New'!$D:$D,'Modelling New'!W:W),"")</f>
        <v>0.20363598592644594</v>
      </c>
      <c r="AG214" s="222">
        <f>IFERROR(_xlfn.XLOOKUP($D214,'Modelling New'!$D:$D,'Modelling New'!AE:AE),"")</f>
        <v>0.995</v>
      </c>
      <c r="AH214" s="222">
        <f>IFERROR(_xlfn.XLOOKUP($D214,'Modelling New'!$D:$D,'Modelling New'!AF:AF),"")</f>
        <v>0.995</v>
      </c>
      <c r="AI214" s="9"/>
      <c r="AJ214" s="9"/>
      <c r="AK214" s="245"/>
      <c r="AL214" s="245"/>
      <c r="AM214" s="245"/>
      <c r="AN214" s="219"/>
      <c r="AO214" s="222"/>
      <c r="AP214" s="222"/>
      <c r="AQ214" s="222"/>
      <c r="AR214" s="223">
        <f>_xlfn.XLOOKUP(D214,'Modelling New'!$D:$D,'Modelling New'!$N:$N)</f>
        <v>130</v>
      </c>
      <c r="AS214" s="223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18">
        <f>Table13[[#This Row],[Date]]-DAY(Table13[[#This Row],[Date]])+1</f>
        <v>45931</v>
      </c>
      <c r="E215" s="9">
        <f t="shared" si="15"/>
        <v>31</v>
      </c>
      <c r="F215" s="188" t="str">
        <f>IFERROR(_xlfn.XLOOKUP($A215,Input_Raw!$A:$A,Input_Raw!$FC:$FC),"")</f>
        <v/>
      </c>
      <c r="G215" s="178" t="str">
        <f>IFERROR(_xlfn.XLOOKUP($A215,Input_Raw!$A:$A,Input_Raw!$CY:$CY),"")</f>
        <v/>
      </c>
      <c r="H215" s="178" t="str">
        <f>IFERROR(_xlfn.XLOOKUP($A215,Input_Raw!$A:$A,Input_Raw!$DA:$DA),"")</f>
        <v/>
      </c>
      <c r="I215" s="178" t="str">
        <f>IFERROR(_xlfn.XLOOKUP($A215,Input_Raw!$A:$A,Input_Raw!$CX:$CX),"")</f>
        <v/>
      </c>
      <c r="J215" s="178" t="str">
        <f>IFERROR(_xlfn.XLOOKUP($A215,Input_Raw!$A:$A,Input_Raw!$CZ:$CZ),"")</f>
        <v/>
      </c>
      <c r="K215" s="190" t="str">
        <f>IFERROR(_xlfn.XLOOKUP($A215,Input_Raw!$A:$A,Input_Raw!$DB:$DB),"")</f>
        <v/>
      </c>
      <c r="L215" s="190" t="str">
        <f>IFERROR(_xlfn.XLOOKUP($A215,Input_Raw!$A:$A,Input_Raw!$DC:$DC),"")</f>
        <v/>
      </c>
      <c r="M215" s="189" t="str">
        <f>IFERROR(_xlfn.XLOOKUP($A215,Input_Raw!$A:$A,Input_Raw!$DF:$DF),"")</f>
        <v/>
      </c>
      <c r="N215" s="189" t="str">
        <f>IFERROR(_xlfn.XLOOKUP($A215,Input_Raw!$A:$A,Input_Raw!$DG:$DG),"")</f>
        <v/>
      </c>
      <c r="O215" s="219" t="str">
        <f>IFERROR(1-(SUMIF(Plant_BD!$B:$B,$A215,Plant_BD!$AL:$AL)/($AA215+SUMIF(Plant_BD!$B:$B,$A215,Plant_BD!$AL:$AL))),"")</f>
        <v/>
      </c>
      <c r="P215" s="219"/>
      <c r="Q215" s="220" t="str">
        <f>IFERROR(1-(SUMIF(Grid_BD!$B:$B,$A215,Grid_BD!$V:$V)/($AA215+SUMIF(Grid_BD!$B:$B,$A215,Grid_BD!$V:$V))),"")</f>
        <v/>
      </c>
      <c r="R215" s="219" t="str">
        <f>IFERROR(1-(SUMIF(Grid_BD!$B:$B,$A215,Grid_BD!$V:$V)/($AA215+SUMIF(Grid_BD!$B:$B,$A215,Grid_BD!$V:$V))),"")</f>
        <v/>
      </c>
      <c r="S215" s="9"/>
      <c r="T215" s="220"/>
      <c r="U215" s="221" t="str">
        <f t="shared" si="16"/>
        <v/>
      </c>
      <c r="V215" s="221" t="str">
        <f>IFERROR(_xlfn.XLOOKUP($A215,Input_Raw!$A:$A,Input_Raw!$FG:$FG),"")</f>
        <v/>
      </c>
      <c r="W215" s="222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78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22">
        <f>IFERROR(_xlfn.XLOOKUP($D215,'Modelling New'!$D:$D,'Modelling New'!O:O),"")</f>
        <v>0.83889907823519261</v>
      </c>
      <c r="AF215" s="222">
        <f>IFERROR(_xlfn.XLOOKUP($D215,'Modelling New'!$D:$D,'Modelling New'!W:W),"")</f>
        <v>0.20363598592644594</v>
      </c>
      <c r="AG215" s="222">
        <f>IFERROR(_xlfn.XLOOKUP($D215,'Modelling New'!$D:$D,'Modelling New'!AE:AE),"")</f>
        <v>0.995</v>
      </c>
      <c r="AH215" s="222">
        <f>IFERROR(_xlfn.XLOOKUP($D215,'Modelling New'!$D:$D,'Modelling New'!AF:AF),"")</f>
        <v>0.995</v>
      </c>
      <c r="AI215" s="9"/>
      <c r="AJ215" s="9"/>
      <c r="AK215" s="245"/>
      <c r="AL215" s="245"/>
      <c r="AM215" s="245"/>
      <c r="AN215" s="219"/>
      <c r="AO215" s="222"/>
      <c r="AP215" s="222"/>
      <c r="AQ215" s="222"/>
      <c r="AR215" s="223">
        <f>_xlfn.XLOOKUP(D215,'Modelling New'!$D:$D,'Modelling New'!$N:$N)</f>
        <v>130</v>
      </c>
      <c r="AS215" s="223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18">
        <f>Table13[[#This Row],[Date]]-DAY(Table13[[#This Row],[Date]])+1</f>
        <v>45931</v>
      </c>
      <c r="E216" s="9">
        <f t="shared" si="15"/>
        <v>31</v>
      </c>
      <c r="F216" s="188" t="str">
        <f>IFERROR(_xlfn.XLOOKUP($A216,Input_Raw!$A:$A,Input_Raw!$FC:$FC),"")</f>
        <v/>
      </c>
      <c r="G216" s="189" t="str">
        <f>IFERROR(_xlfn.XLOOKUP($A216,Input_Raw!$A:$A,Input_Raw!$CY:$CY),"")</f>
        <v/>
      </c>
      <c r="H216" s="189" t="str">
        <f>IFERROR(_xlfn.XLOOKUP($A216,Input_Raw!$A:$A,Input_Raw!$DA:$DA),"")</f>
        <v/>
      </c>
      <c r="I216" s="189" t="str">
        <f>IFERROR(_xlfn.XLOOKUP($A216,Input_Raw!$A:$A,Input_Raw!$CX:$CX),"")</f>
        <v/>
      </c>
      <c r="J216" s="189" t="str">
        <f>IFERROR(_xlfn.XLOOKUP($A216,Input_Raw!$A:$A,Input_Raw!$CZ:$CZ),"")</f>
        <v/>
      </c>
      <c r="K216" s="190" t="str">
        <f>IFERROR(_xlfn.XLOOKUP($A216,Input_Raw!$A:$A,Input_Raw!$DB:$DB),"")</f>
        <v/>
      </c>
      <c r="L216" s="190" t="str">
        <f>IFERROR(_xlfn.XLOOKUP($A216,Input_Raw!$A:$A,Input_Raw!$DC:$DC),"")</f>
        <v/>
      </c>
      <c r="M216" s="189" t="str">
        <f>IFERROR(_xlfn.XLOOKUP($A216,Input_Raw!$A:$A,Input_Raw!$DF:$DF),"")</f>
        <v/>
      </c>
      <c r="N216" s="189" t="str">
        <f>IFERROR(_xlfn.XLOOKUP($A216,Input_Raw!$A:$A,Input_Raw!$DG:$DG),"")</f>
        <v/>
      </c>
      <c r="O216" s="219" t="str">
        <f>IFERROR(1-(SUMIF(Plant_BD!$B:$B,$A216,Plant_BD!$AL:$AL)/($AA216+SUMIF(Plant_BD!$B:$B,$A216,Plant_BD!$AL:$AL))),"")</f>
        <v/>
      </c>
      <c r="P216" s="219"/>
      <c r="Q216" s="220" t="str">
        <f>IFERROR(1-(SUMIF(Grid_BD!$B:$B,$A216,Grid_BD!$V:$V)/($AA216+SUMIF(Grid_BD!$B:$B,$A216,Grid_BD!$V:$V))),"")</f>
        <v/>
      </c>
      <c r="R216" s="219" t="str">
        <f>IFERROR(1-(SUMIF(Grid_BD!$B:$B,$A216,Grid_BD!$V:$V)/($AA216+SUMIF(Grid_BD!$B:$B,$A216,Grid_BD!$V:$V))),"")</f>
        <v/>
      </c>
      <c r="S216" s="9"/>
      <c r="T216" s="220"/>
      <c r="U216" s="221" t="str">
        <f t="shared" si="16"/>
        <v/>
      </c>
      <c r="V216" s="221" t="str">
        <f>IFERROR(_xlfn.XLOOKUP($A216,Input_Raw!$A:$A,Input_Raw!$FG:$FG),"")</f>
        <v/>
      </c>
      <c r="W216" s="222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78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22">
        <f>IFERROR(_xlfn.XLOOKUP($D216,'Modelling New'!$D:$D,'Modelling New'!O:O),"")</f>
        <v>0.83889907823519261</v>
      </c>
      <c r="AF216" s="222">
        <f>IFERROR(_xlfn.XLOOKUP($D216,'Modelling New'!$D:$D,'Modelling New'!W:W),"")</f>
        <v>0.20363598592644594</v>
      </c>
      <c r="AG216" s="222">
        <f>IFERROR(_xlfn.XLOOKUP($D216,'Modelling New'!$D:$D,'Modelling New'!AE:AE),"")</f>
        <v>0.995</v>
      </c>
      <c r="AH216" s="222">
        <f>IFERROR(_xlfn.XLOOKUP($D216,'Modelling New'!$D:$D,'Modelling New'!AF:AF),"")</f>
        <v>0.995</v>
      </c>
      <c r="AI216" s="9"/>
      <c r="AJ216" s="9"/>
      <c r="AK216" s="245"/>
      <c r="AL216" s="245"/>
      <c r="AM216" s="245"/>
      <c r="AN216" s="219"/>
      <c r="AO216" s="222"/>
      <c r="AP216" s="222"/>
      <c r="AQ216" s="222"/>
      <c r="AR216" s="223">
        <f>_xlfn.XLOOKUP(D216,'Modelling New'!$D:$D,'Modelling New'!$N:$N)</f>
        <v>130</v>
      </c>
      <c r="AS216" s="223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18">
        <f>Table13[[#This Row],[Date]]-DAY(Table13[[#This Row],[Date]])+1</f>
        <v>45931</v>
      </c>
      <c r="E217" s="9">
        <f t="shared" si="15"/>
        <v>31</v>
      </c>
      <c r="F217" s="188" t="str">
        <f>IFERROR(_xlfn.XLOOKUP($A217,Input_Raw!$A:$A,Input_Raw!$FC:$FC),"")</f>
        <v/>
      </c>
      <c r="G217" s="178" t="str">
        <f>IFERROR(_xlfn.XLOOKUP($A217,Input_Raw!$A:$A,Input_Raw!$CY:$CY),"")</f>
        <v/>
      </c>
      <c r="H217" s="178" t="str">
        <f>IFERROR(_xlfn.XLOOKUP($A217,Input_Raw!$A:$A,Input_Raw!$DA:$DA),"")</f>
        <v/>
      </c>
      <c r="I217" s="178" t="str">
        <f>IFERROR(_xlfn.XLOOKUP($A217,Input_Raw!$A:$A,Input_Raw!$CX:$CX),"")</f>
        <v/>
      </c>
      <c r="J217" s="178" t="str">
        <f>IFERROR(_xlfn.XLOOKUP($A217,Input_Raw!$A:$A,Input_Raw!$CZ:$CZ),"")</f>
        <v/>
      </c>
      <c r="K217" s="190" t="str">
        <f>IFERROR(_xlfn.XLOOKUP($A217,Input_Raw!$A:$A,Input_Raw!$DB:$DB),"")</f>
        <v/>
      </c>
      <c r="L217" s="190" t="str">
        <f>IFERROR(_xlfn.XLOOKUP($A217,Input_Raw!$A:$A,Input_Raw!$DC:$DC),"")</f>
        <v/>
      </c>
      <c r="M217" s="189" t="str">
        <f>IFERROR(_xlfn.XLOOKUP($A217,Input_Raw!$A:$A,Input_Raw!$DF:$DF),"")</f>
        <v/>
      </c>
      <c r="N217" s="189" t="str">
        <f>IFERROR(_xlfn.XLOOKUP($A217,Input_Raw!$A:$A,Input_Raw!$DG:$DG),"")</f>
        <v/>
      </c>
      <c r="O217" s="219" t="str">
        <f>IFERROR(1-(SUMIF(Plant_BD!$B:$B,$A217,Plant_BD!$AL:$AL)/($AA217+SUMIF(Plant_BD!$B:$B,$A217,Plant_BD!$AL:$AL))),"")</f>
        <v/>
      </c>
      <c r="P217" s="219"/>
      <c r="Q217" s="220" t="str">
        <f>IFERROR(1-(SUMIF(Grid_BD!$B:$B,$A217,Grid_BD!$V:$V)/($AA217+SUMIF(Grid_BD!$B:$B,$A217,Grid_BD!$V:$V))),"")</f>
        <v/>
      </c>
      <c r="R217" s="219" t="str">
        <f>IFERROR(1-(SUMIF(Grid_BD!$B:$B,$A217,Grid_BD!$V:$V)/($AA217+SUMIF(Grid_BD!$B:$B,$A217,Grid_BD!$V:$V))),"")</f>
        <v/>
      </c>
      <c r="S217" s="9"/>
      <c r="T217" s="220"/>
      <c r="U217" s="221" t="str">
        <f t="shared" si="16"/>
        <v/>
      </c>
      <c r="V217" s="221" t="str">
        <f>IFERROR(_xlfn.XLOOKUP($A217,Input_Raw!$A:$A,Input_Raw!$FG:$FG),"")</f>
        <v/>
      </c>
      <c r="W217" s="222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78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22">
        <f>IFERROR(_xlfn.XLOOKUP($D217,'Modelling New'!$D:$D,'Modelling New'!O:O),"")</f>
        <v>0.83889907823519261</v>
      </c>
      <c r="AF217" s="222">
        <f>IFERROR(_xlfn.XLOOKUP($D217,'Modelling New'!$D:$D,'Modelling New'!W:W),"")</f>
        <v>0.20363598592644594</v>
      </c>
      <c r="AG217" s="222">
        <f>IFERROR(_xlfn.XLOOKUP($D217,'Modelling New'!$D:$D,'Modelling New'!AE:AE),"")</f>
        <v>0.995</v>
      </c>
      <c r="AH217" s="222">
        <f>IFERROR(_xlfn.XLOOKUP($D217,'Modelling New'!$D:$D,'Modelling New'!AF:AF),"")</f>
        <v>0.995</v>
      </c>
      <c r="AI217" s="9"/>
      <c r="AJ217" s="9"/>
      <c r="AK217" s="245"/>
      <c r="AL217" s="245"/>
      <c r="AM217" s="245"/>
      <c r="AN217" s="219"/>
      <c r="AO217" s="222"/>
      <c r="AP217" s="222"/>
      <c r="AQ217" s="222"/>
      <c r="AR217" s="223">
        <f>_xlfn.XLOOKUP(D217,'Modelling New'!$D:$D,'Modelling New'!$N:$N)</f>
        <v>130</v>
      </c>
      <c r="AS217" s="223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18">
        <f>Table13[[#This Row],[Date]]-DAY(Table13[[#This Row],[Date]])+1</f>
        <v>45931</v>
      </c>
      <c r="E218" s="9">
        <f t="shared" si="15"/>
        <v>31</v>
      </c>
      <c r="F218" s="188" t="str">
        <f>IFERROR(_xlfn.XLOOKUP($A218,Input_Raw!$A:$A,Input_Raw!$FC:$FC),"")</f>
        <v/>
      </c>
      <c r="G218" s="189" t="str">
        <f>IFERROR(_xlfn.XLOOKUP($A218,Input_Raw!$A:$A,Input_Raw!$CY:$CY),"")</f>
        <v/>
      </c>
      <c r="H218" s="189" t="str">
        <f>IFERROR(_xlfn.XLOOKUP($A218,Input_Raw!$A:$A,Input_Raw!$DA:$DA),"")</f>
        <v/>
      </c>
      <c r="I218" s="189" t="str">
        <f>IFERROR(_xlfn.XLOOKUP($A218,Input_Raw!$A:$A,Input_Raw!$CX:$CX),"")</f>
        <v/>
      </c>
      <c r="J218" s="189" t="str">
        <f>IFERROR(_xlfn.XLOOKUP($A218,Input_Raw!$A:$A,Input_Raw!$CZ:$CZ),"")</f>
        <v/>
      </c>
      <c r="K218" s="190" t="str">
        <f>IFERROR(_xlfn.XLOOKUP($A218,Input_Raw!$A:$A,Input_Raw!$DB:$DB),"")</f>
        <v/>
      </c>
      <c r="L218" s="190" t="str">
        <f>IFERROR(_xlfn.XLOOKUP($A218,Input_Raw!$A:$A,Input_Raw!$DC:$DC),"")</f>
        <v/>
      </c>
      <c r="M218" s="189" t="str">
        <f>IFERROR(_xlfn.XLOOKUP($A218,Input_Raw!$A:$A,Input_Raw!$DF:$DF),"")</f>
        <v/>
      </c>
      <c r="N218" s="189" t="str">
        <f>IFERROR(_xlfn.XLOOKUP($A218,Input_Raw!$A:$A,Input_Raw!$DG:$DG),"")</f>
        <v/>
      </c>
      <c r="O218" s="219" t="str">
        <f>IFERROR(1-(SUMIF(Plant_BD!$B:$B,$A218,Plant_BD!$AL:$AL)/($AA218+SUMIF(Plant_BD!$B:$B,$A218,Plant_BD!$AL:$AL))),"")</f>
        <v/>
      </c>
      <c r="P218" s="219"/>
      <c r="Q218" s="220" t="str">
        <f>IFERROR(1-(SUMIF(Grid_BD!$B:$B,$A218,Grid_BD!$V:$V)/($AA218+SUMIF(Grid_BD!$B:$B,$A218,Grid_BD!$V:$V))),"")</f>
        <v/>
      </c>
      <c r="R218" s="219" t="str">
        <f>IFERROR(1-(SUMIF(Grid_BD!$B:$B,$A218,Grid_BD!$V:$V)/($AA218+SUMIF(Grid_BD!$B:$B,$A218,Grid_BD!$V:$V))),"")</f>
        <v/>
      </c>
      <c r="S218" s="9"/>
      <c r="T218" s="220"/>
      <c r="U218" s="221" t="str">
        <f t="shared" si="16"/>
        <v/>
      </c>
      <c r="V218" s="221" t="str">
        <f>IFERROR(_xlfn.XLOOKUP($A218,Input_Raw!$A:$A,Input_Raw!$FG:$FG),"")</f>
        <v/>
      </c>
      <c r="W218" s="222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78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22">
        <f>IFERROR(_xlfn.XLOOKUP($D218,'Modelling New'!$D:$D,'Modelling New'!O:O),"")</f>
        <v>0.83889907823519261</v>
      </c>
      <c r="AF218" s="222">
        <f>IFERROR(_xlfn.XLOOKUP($D218,'Modelling New'!$D:$D,'Modelling New'!W:W),"")</f>
        <v>0.20363598592644594</v>
      </c>
      <c r="AG218" s="222">
        <f>IFERROR(_xlfn.XLOOKUP($D218,'Modelling New'!$D:$D,'Modelling New'!AE:AE),"")</f>
        <v>0.995</v>
      </c>
      <c r="AH218" s="222">
        <f>IFERROR(_xlfn.XLOOKUP($D218,'Modelling New'!$D:$D,'Modelling New'!AF:AF),"")</f>
        <v>0.995</v>
      </c>
      <c r="AI218" s="9"/>
      <c r="AJ218" s="9"/>
      <c r="AK218" s="245"/>
      <c r="AL218" s="245"/>
      <c r="AM218" s="245"/>
      <c r="AN218" s="219"/>
      <c r="AO218" s="222"/>
      <c r="AP218" s="222"/>
      <c r="AQ218" s="222"/>
      <c r="AR218" s="223">
        <f>_xlfn.XLOOKUP(D218,'Modelling New'!$D:$D,'Modelling New'!$N:$N)</f>
        <v>130</v>
      </c>
      <c r="AS218" s="223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18">
        <f>Table13[[#This Row],[Date]]-DAY(Table13[[#This Row],[Date]])+1</f>
        <v>45962</v>
      </c>
      <c r="E219" s="9">
        <f t="shared" si="15"/>
        <v>30</v>
      </c>
      <c r="F219" s="188" t="str">
        <f>IFERROR(_xlfn.XLOOKUP($A219,Input_Raw!$A:$A,Input_Raw!$FC:$FC),"")</f>
        <v/>
      </c>
      <c r="G219" s="178" t="str">
        <f>IFERROR(_xlfn.XLOOKUP($A219,Input_Raw!$A:$A,Input_Raw!$CY:$CY),"")</f>
        <v/>
      </c>
      <c r="H219" s="178" t="str">
        <f>IFERROR(_xlfn.XLOOKUP($A219,Input_Raw!$A:$A,Input_Raw!$DA:$DA),"")</f>
        <v/>
      </c>
      <c r="I219" s="178" t="str">
        <f>IFERROR(_xlfn.XLOOKUP($A219,Input_Raw!$A:$A,Input_Raw!$CX:$CX),"")</f>
        <v/>
      </c>
      <c r="J219" s="178" t="str">
        <f>IFERROR(_xlfn.XLOOKUP($A219,Input_Raw!$A:$A,Input_Raw!$CZ:$CZ),"")</f>
        <v/>
      </c>
      <c r="K219" s="190" t="str">
        <f>IFERROR(_xlfn.XLOOKUP($A219,Input_Raw!$A:$A,Input_Raw!$DB:$DB),"")</f>
        <v/>
      </c>
      <c r="L219" s="190" t="str">
        <f>IFERROR(_xlfn.XLOOKUP($A219,Input_Raw!$A:$A,Input_Raw!$DC:$DC),"")</f>
        <v/>
      </c>
      <c r="M219" s="189" t="str">
        <f>IFERROR(_xlfn.XLOOKUP($A219,Input_Raw!$A:$A,Input_Raw!$DF:$DF),"")</f>
        <v/>
      </c>
      <c r="N219" s="189" t="str">
        <f>IFERROR(_xlfn.XLOOKUP($A219,Input_Raw!$A:$A,Input_Raw!$DG:$DG),"")</f>
        <v/>
      </c>
      <c r="O219" s="219" t="str">
        <f>IFERROR(1-(SUMIF(Plant_BD!$B:$B,$A219,Plant_BD!$AL:$AL)/($AA219+SUMIF(Plant_BD!$B:$B,$A219,Plant_BD!$AL:$AL))),"")</f>
        <v/>
      </c>
      <c r="P219" s="219"/>
      <c r="Q219" s="220" t="str">
        <f>IFERROR(1-(SUMIF(Grid_BD!$B:$B,$A219,Grid_BD!$V:$V)/($AA219+SUMIF(Grid_BD!$B:$B,$A219,Grid_BD!$V:$V))),"")</f>
        <v/>
      </c>
      <c r="R219" s="219" t="str">
        <f>IFERROR(1-(SUMIF(Grid_BD!$B:$B,$A219,Grid_BD!$V:$V)/($AA219+SUMIF(Grid_BD!$B:$B,$A219,Grid_BD!$V:$V))),"")</f>
        <v/>
      </c>
      <c r="S219" s="9"/>
      <c r="T219" s="220"/>
      <c r="U219" s="221" t="str">
        <f t="shared" si="16"/>
        <v/>
      </c>
      <c r="V219" s="221" t="str">
        <f>IFERROR(_xlfn.XLOOKUP($A219,Input_Raw!$A:$A,Input_Raw!$FG:$FG),"")</f>
        <v/>
      </c>
      <c r="W219" s="222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78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22">
        <f>IFERROR(_xlfn.XLOOKUP($D219,'Modelling New'!$D:$D,'Modelling New'!O:O),"")</f>
        <v>0.85168295119970561</v>
      </c>
      <c r="AF219" s="222">
        <f>IFERROR(_xlfn.XLOOKUP($D219,'Modelling New'!$D:$D,'Modelling New'!W:W),"")</f>
        <v>0.19813457545270932</v>
      </c>
      <c r="AG219" s="222">
        <f>IFERROR(_xlfn.XLOOKUP($D219,'Modelling New'!$D:$D,'Modelling New'!AE:AE),"")</f>
        <v>0.995</v>
      </c>
      <c r="AH219" s="222">
        <f>IFERROR(_xlfn.XLOOKUP($D219,'Modelling New'!$D:$D,'Modelling New'!AF:AF),"")</f>
        <v>0.995</v>
      </c>
      <c r="AI219" s="9"/>
      <c r="AJ219" s="9"/>
      <c r="AK219" s="245"/>
      <c r="AL219" s="245"/>
      <c r="AM219" s="245"/>
      <c r="AN219" s="219"/>
      <c r="AO219" s="222"/>
      <c r="AP219" s="222"/>
      <c r="AQ219" s="222"/>
      <c r="AR219" s="223">
        <f>_xlfn.XLOOKUP(D219,'Modelling New'!$D:$D,'Modelling New'!$N:$N)</f>
        <v>130</v>
      </c>
      <c r="AS219" s="223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18">
        <f>Table13[[#This Row],[Date]]-DAY(Table13[[#This Row],[Date]])+1</f>
        <v>45962</v>
      </c>
      <c r="E220" s="9">
        <f t="shared" si="15"/>
        <v>30</v>
      </c>
      <c r="F220" s="188" t="str">
        <f>IFERROR(_xlfn.XLOOKUP($A220,Input_Raw!$A:$A,Input_Raw!$FC:$FC),"")</f>
        <v/>
      </c>
      <c r="G220" s="189" t="str">
        <f>IFERROR(_xlfn.XLOOKUP($A220,Input_Raw!$A:$A,Input_Raw!$CY:$CY),"")</f>
        <v/>
      </c>
      <c r="H220" s="189" t="str">
        <f>IFERROR(_xlfn.XLOOKUP($A220,Input_Raw!$A:$A,Input_Raw!$DA:$DA),"")</f>
        <v/>
      </c>
      <c r="I220" s="189" t="str">
        <f>IFERROR(_xlfn.XLOOKUP($A220,Input_Raw!$A:$A,Input_Raw!$CX:$CX),"")</f>
        <v/>
      </c>
      <c r="J220" s="189" t="str">
        <f>IFERROR(_xlfn.XLOOKUP($A220,Input_Raw!$A:$A,Input_Raw!$CZ:$CZ),"")</f>
        <v/>
      </c>
      <c r="K220" s="190" t="str">
        <f>IFERROR(_xlfn.XLOOKUP($A220,Input_Raw!$A:$A,Input_Raw!$DB:$DB),"")</f>
        <v/>
      </c>
      <c r="L220" s="190" t="str">
        <f>IFERROR(_xlfn.XLOOKUP($A220,Input_Raw!$A:$A,Input_Raw!$DC:$DC),"")</f>
        <v/>
      </c>
      <c r="M220" s="189" t="str">
        <f>IFERROR(_xlfn.XLOOKUP($A220,Input_Raw!$A:$A,Input_Raw!$DF:$DF),"")</f>
        <v/>
      </c>
      <c r="N220" s="189" t="str">
        <f>IFERROR(_xlfn.XLOOKUP($A220,Input_Raw!$A:$A,Input_Raw!$DG:$DG),"")</f>
        <v/>
      </c>
      <c r="O220" s="219" t="str">
        <f>IFERROR(1-(SUMIF(Plant_BD!$B:$B,$A220,Plant_BD!$AL:$AL)/($AA220+SUMIF(Plant_BD!$B:$B,$A220,Plant_BD!$AL:$AL))),"")</f>
        <v/>
      </c>
      <c r="P220" s="219"/>
      <c r="Q220" s="220" t="str">
        <f>IFERROR(1-(SUMIF(Grid_BD!$B:$B,$A220,Grid_BD!$V:$V)/($AA220+SUMIF(Grid_BD!$B:$B,$A220,Grid_BD!$V:$V))),"")</f>
        <v/>
      </c>
      <c r="R220" s="219" t="str">
        <f>IFERROR(1-(SUMIF(Grid_BD!$B:$B,$A220,Grid_BD!$V:$V)/($AA220+SUMIF(Grid_BD!$B:$B,$A220,Grid_BD!$V:$V))),"")</f>
        <v/>
      </c>
      <c r="S220" s="9"/>
      <c r="T220" s="220"/>
      <c r="U220" s="221" t="str">
        <f t="shared" si="16"/>
        <v/>
      </c>
      <c r="V220" s="221" t="str">
        <f>IFERROR(_xlfn.XLOOKUP($A220,Input_Raw!$A:$A,Input_Raw!$FG:$FG),"")</f>
        <v/>
      </c>
      <c r="W220" s="222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78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22">
        <f>IFERROR(_xlfn.XLOOKUP($D220,'Modelling New'!$D:$D,'Modelling New'!O:O),"")</f>
        <v>0.85168295119970561</v>
      </c>
      <c r="AF220" s="222">
        <f>IFERROR(_xlfn.XLOOKUP($D220,'Modelling New'!$D:$D,'Modelling New'!W:W),"")</f>
        <v>0.19813457545270932</v>
      </c>
      <c r="AG220" s="222">
        <f>IFERROR(_xlfn.XLOOKUP($D220,'Modelling New'!$D:$D,'Modelling New'!AE:AE),"")</f>
        <v>0.995</v>
      </c>
      <c r="AH220" s="222">
        <f>IFERROR(_xlfn.XLOOKUP($D220,'Modelling New'!$D:$D,'Modelling New'!AF:AF),"")</f>
        <v>0.995</v>
      </c>
      <c r="AI220" s="9"/>
      <c r="AJ220" s="9"/>
      <c r="AK220" s="245"/>
      <c r="AL220" s="245"/>
      <c r="AM220" s="245"/>
      <c r="AN220" s="219"/>
      <c r="AO220" s="222"/>
      <c r="AP220" s="222"/>
      <c r="AQ220" s="222"/>
      <c r="AR220" s="223">
        <f>_xlfn.XLOOKUP(D220,'Modelling New'!$D:$D,'Modelling New'!$N:$N)</f>
        <v>130</v>
      </c>
      <c r="AS220" s="223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18">
        <f>Table13[[#This Row],[Date]]-DAY(Table13[[#This Row],[Date]])+1</f>
        <v>45962</v>
      </c>
      <c r="E221" s="9">
        <f t="shared" si="15"/>
        <v>30</v>
      </c>
      <c r="F221" s="188" t="str">
        <f>IFERROR(_xlfn.XLOOKUP($A221,Input_Raw!$A:$A,Input_Raw!$FC:$FC),"")</f>
        <v/>
      </c>
      <c r="G221" s="178" t="str">
        <f>IFERROR(_xlfn.XLOOKUP($A221,Input_Raw!$A:$A,Input_Raw!$CY:$CY),"")</f>
        <v/>
      </c>
      <c r="H221" s="178" t="str">
        <f>IFERROR(_xlfn.XLOOKUP($A221,Input_Raw!$A:$A,Input_Raw!$DA:$DA),"")</f>
        <v/>
      </c>
      <c r="I221" s="178" t="str">
        <f>IFERROR(_xlfn.XLOOKUP($A221,Input_Raw!$A:$A,Input_Raw!$CX:$CX),"")</f>
        <v/>
      </c>
      <c r="J221" s="178" t="str">
        <f>IFERROR(_xlfn.XLOOKUP($A221,Input_Raw!$A:$A,Input_Raw!$CZ:$CZ),"")</f>
        <v/>
      </c>
      <c r="K221" s="190" t="str">
        <f>IFERROR(_xlfn.XLOOKUP($A221,Input_Raw!$A:$A,Input_Raw!$DB:$DB),"")</f>
        <v/>
      </c>
      <c r="L221" s="190" t="str">
        <f>IFERROR(_xlfn.XLOOKUP($A221,Input_Raw!$A:$A,Input_Raw!$DC:$DC),"")</f>
        <v/>
      </c>
      <c r="M221" s="189" t="str">
        <f>IFERROR(_xlfn.XLOOKUP($A221,Input_Raw!$A:$A,Input_Raw!$DF:$DF),"")</f>
        <v/>
      </c>
      <c r="N221" s="189" t="str">
        <f>IFERROR(_xlfn.XLOOKUP($A221,Input_Raw!$A:$A,Input_Raw!$DG:$DG),"")</f>
        <v/>
      </c>
      <c r="O221" s="219" t="str">
        <f>IFERROR(1-(SUMIF(Plant_BD!$B:$B,$A221,Plant_BD!$AL:$AL)/($AA221+SUMIF(Plant_BD!$B:$B,$A221,Plant_BD!$AL:$AL))),"")</f>
        <v/>
      </c>
      <c r="P221" s="219"/>
      <c r="Q221" s="220" t="str">
        <f>IFERROR(1-(SUMIF(Grid_BD!$B:$B,$A221,Grid_BD!$V:$V)/($AA221+SUMIF(Grid_BD!$B:$B,$A221,Grid_BD!$V:$V))),"")</f>
        <v/>
      </c>
      <c r="R221" s="219" t="str">
        <f>IFERROR(1-(SUMIF(Grid_BD!$B:$B,$A221,Grid_BD!$V:$V)/($AA221+SUMIF(Grid_BD!$B:$B,$A221,Grid_BD!$V:$V))),"")</f>
        <v/>
      </c>
      <c r="S221" s="9"/>
      <c r="T221" s="220"/>
      <c r="U221" s="221" t="str">
        <f t="shared" si="16"/>
        <v/>
      </c>
      <c r="V221" s="221" t="str">
        <f>IFERROR(_xlfn.XLOOKUP($A221,Input_Raw!$A:$A,Input_Raw!$FG:$FG),"")</f>
        <v/>
      </c>
      <c r="W221" s="222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78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22">
        <f>IFERROR(_xlfn.XLOOKUP($D221,'Modelling New'!$D:$D,'Modelling New'!O:O),"")</f>
        <v>0.85168295119970561</v>
      </c>
      <c r="AF221" s="222">
        <f>IFERROR(_xlfn.XLOOKUP($D221,'Modelling New'!$D:$D,'Modelling New'!W:W),"")</f>
        <v>0.19813457545270932</v>
      </c>
      <c r="AG221" s="222">
        <f>IFERROR(_xlfn.XLOOKUP($D221,'Modelling New'!$D:$D,'Modelling New'!AE:AE),"")</f>
        <v>0.995</v>
      </c>
      <c r="AH221" s="222">
        <f>IFERROR(_xlfn.XLOOKUP($D221,'Modelling New'!$D:$D,'Modelling New'!AF:AF),"")</f>
        <v>0.995</v>
      </c>
      <c r="AI221" s="9"/>
      <c r="AJ221" s="9"/>
      <c r="AK221" s="245"/>
      <c r="AL221" s="245"/>
      <c r="AM221" s="245"/>
      <c r="AN221" s="219"/>
      <c r="AO221" s="222"/>
      <c r="AP221" s="222"/>
      <c r="AQ221" s="222"/>
      <c r="AR221" s="223">
        <f>_xlfn.XLOOKUP(D221,'Modelling New'!$D:$D,'Modelling New'!$N:$N)</f>
        <v>130</v>
      </c>
      <c r="AS221" s="223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18">
        <f>Table13[[#This Row],[Date]]-DAY(Table13[[#This Row],[Date]])+1</f>
        <v>45962</v>
      </c>
      <c r="E222" s="9">
        <f t="shared" si="15"/>
        <v>30</v>
      </c>
      <c r="F222" s="188" t="str">
        <f>IFERROR(_xlfn.XLOOKUP($A222,Input_Raw!$A:$A,Input_Raw!$FC:$FC),"")</f>
        <v/>
      </c>
      <c r="G222" s="189" t="str">
        <f>IFERROR(_xlfn.XLOOKUP($A222,Input_Raw!$A:$A,Input_Raw!$CY:$CY),"")</f>
        <v/>
      </c>
      <c r="H222" s="189" t="str">
        <f>IFERROR(_xlfn.XLOOKUP($A222,Input_Raw!$A:$A,Input_Raw!$DA:$DA),"")</f>
        <v/>
      </c>
      <c r="I222" s="189" t="str">
        <f>IFERROR(_xlfn.XLOOKUP($A222,Input_Raw!$A:$A,Input_Raw!$CX:$CX),"")</f>
        <v/>
      </c>
      <c r="J222" s="189" t="str">
        <f>IFERROR(_xlfn.XLOOKUP($A222,Input_Raw!$A:$A,Input_Raw!$CZ:$CZ),"")</f>
        <v/>
      </c>
      <c r="K222" s="190" t="str">
        <f>IFERROR(_xlfn.XLOOKUP($A222,Input_Raw!$A:$A,Input_Raw!$DB:$DB),"")</f>
        <v/>
      </c>
      <c r="L222" s="190" t="str">
        <f>IFERROR(_xlfn.XLOOKUP($A222,Input_Raw!$A:$A,Input_Raw!$DC:$DC),"")</f>
        <v/>
      </c>
      <c r="M222" s="189" t="str">
        <f>IFERROR(_xlfn.XLOOKUP($A222,Input_Raw!$A:$A,Input_Raw!$DF:$DF),"")</f>
        <v/>
      </c>
      <c r="N222" s="189" t="str">
        <f>IFERROR(_xlfn.XLOOKUP($A222,Input_Raw!$A:$A,Input_Raw!$DG:$DG),"")</f>
        <v/>
      </c>
      <c r="O222" s="219" t="str">
        <f>IFERROR(1-(SUMIF(Plant_BD!$B:$B,$A222,Plant_BD!$AL:$AL)/($AA222+SUMIF(Plant_BD!$B:$B,$A222,Plant_BD!$AL:$AL))),"")</f>
        <v/>
      </c>
      <c r="P222" s="219"/>
      <c r="Q222" s="220" t="str">
        <f>IFERROR(1-(SUMIF(Grid_BD!$B:$B,$A222,Grid_BD!$V:$V)/($AA222+SUMIF(Grid_BD!$B:$B,$A222,Grid_BD!$V:$V))),"")</f>
        <v/>
      </c>
      <c r="R222" s="219" t="str">
        <f>IFERROR(1-(SUMIF(Grid_BD!$B:$B,$A222,Grid_BD!$V:$V)/($AA222+SUMIF(Grid_BD!$B:$B,$A222,Grid_BD!$V:$V))),"")</f>
        <v/>
      </c>
      <c r="S222" s="9"/>
      <c r="T222" s="220"/>
      <c r="U222" s="221" t="str">
        <f t="shared" si="16"/>
        <v/>
      </c>
      <c r="V222" s="221" t="str">
        <f>IFERROR(_xlfn.XLOOKUP($A222,Input_Raw!$A:$A,Input_Raw!$FG:$FG),"")</f>
        <v/>
      </c>
      <c r="W222" s="222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78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22">
        <f>IFERROR(_xlfn.XLOOKUP($D222,'Modelling New'!$D:$D,'Modelling New'!O:O),"")</f>
        <v>0.85168295119970561</v>
      </c>
      <c r="AF222" s="222">
        <f>IFERROR(_xlfn.XLOOKUP($D222,'Modelling New'!$D:$D,'Modelling New'!W:W),"")</f>
        <v>0.19813457545270932</v>
      </c>
      <c r="AG222" s="222">
        <f>IFERROR(_xlfn.XLOOKUP($D222,'Modelling New'!$D:$D,'Modelling New'!AE:AE),"")</f>
        <v>0.995</v>
      </c>
      <c r="AH222" s="222">
        <f>IFERROR(_xlfn.XLOOKUP($D222,'Modelling New'!$D:$D,'Modelling New'!AF:AF),"")</f>
        <v>0.995</v>
      </c>
      <c r="AI222" s="9"/>
      <c r="AJ222" s="9"/>
      <c r="AK222" s="245"/>
      <c r="AL222" s="245"/>
      <c r="AM222" s="245"/>
      <c r="AN222" s="219"/>
      <c r="AO222" s="222"/>
      <c r="AP222" s="222"/>
      <c r="AQ222" s="222"/>
      <c r="AR222" s="223">
        <f>_xlfn.XLOOKUP(D222,'Modelling New'!$D:$D,'Modelling New'!$N:$N)</f>
        <v>130</v>
      </c>
      <c r="AS222" s="223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18">
        <f>Table13[[#This Row],[Date]]-DAY(Table13[[#This Row],[Date]])+1</f>
        <v>45962</v>
      </c>
      <c r="E223" s="9">
        <f t="shared" si="15"/>
        <v>30</v>
      </c>
      <c r="F223" s="188" t="str">
        <f>IFERROR(_xlfn.XLOOKUP($A223,Input_Raw!$A:$A,Input_Raw!$FC:$FC),"")</f>
        <v/>
      </c>
      <c r="G223" s="178" t="str">
        <f>IFERROR(_xlfn.XLOOKUP($A223,Input_Raw!$A:$A,Input_Raw!$CY:$CY),"")</f>
        <v/>
      </c>
      <c r="H223" s="178" t="str">
        <f>IFERROR(_xlfn.XLOOKUP($A223,Input_Raw!$A:$A,Input_Raw!$DA:$DA),"")</f>
        <v/>
      </c>
      <c r="I223" s="178" t="str">
        <f>IFERROR(_xlfn.XLOOKUP($A223,Input_Raw!$A:$A,Input_Raw!$CX:$CX),"")</f>
        <v/>
      </c>
      <c r="J223" s="178" t="str">
        <f>IFERROR(_xlfn.XLOOKUP($A223,Input_Raw!$A:$A,Input_Raw!$CZ:$CZ),"")</f>
        <v/>
      </c>
      <c r="K223" s="190" t="str">
        <f>IFERROR(_xlfn.XLOOKUP($A223,Input_Raw!$A:$A,Input_Raw!$DB:$DB),"")</f>
        <v/>
      </c>
      <c r="L223" s="190" t="str">
        <f>IFERROR(_xlfn.XLOOKUP($A223,Input_Raw!$A:$A,Input_Raw!$DC:$DC),"")</f>
        <v/>
      </c>
      <c r="M223" s="189" t="str">
        <f>IFERROR(_xlfn.XLOOKUP($A223,Input_Raw!$A:$A,Input_Raw!$DF:$DF),"")</f>
        <v/>
      </c>
      <c r="N223" s="189" t="str">
        <f>IFERROR(_xlfn.XLOOKUP($A223,Input_Raw!$A:$A,Input_Raw!$DG:$DG),"")</f>
        <v/>
      </c>
      <c r="O223" s="219" t="str">
        <f>IFERROR(1-(SUMIF(Plant_BD!$B:$B,$A223,Plant_BD!$AL:$AL)/($AA223+SUMIF(Plant_BD!$B:$B,$A223,Plant_BD!$AL:$AL))),"")</f>
        <v/>
      </c>
      <c r="P223" s="219"/>
      <c r="Q223" s="220" t="str">
        <f>IFERROR(1-(SUMIF(Grid_BD!$B:$B,$A223,Grid_BD!$V:$V)/($AA223+SUMIF(Grid_BD!$B:$B,$A223,Grid_BD!$V:$V))),"")</f>
        <v/>
      </c>
      <c r="R223" s="219" t="str">
        <f>IFERROR(1-(SUMIF(Grid_BD!$B:$B,$A223,Grid_BD!$V:$V)/($AA223+SUMIF(Grid_BD!$B:$B,$A223,Grid_BD!$V:$V))),"")</f>
        <v/>
      </c>
      <c r="S223" s="9"/>
      <c r="T223" s="220"/>
      <c r="U223" s="221" t="str">
        <f t="shared" si="16"/>
        <v/>
      </c>
      <c r="V223" s="221" t="str">
        <f>IFERROR(_xlfn.XLOOKUP($A223,Input_Raw!$A:$A,Input_Raw!$FG:$FG),"")</f>
        <v/>
      </c>
      <c r="W223" s="222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78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22">
        <f>IFERROR(_xlfn.XLOOKUP($D223,'Modelling New'!$D:$D,'Modelling New'!O:O),"")</f>
        <v>0.85168295119970561</v>
      </c>
      <c r="AF223" s="222">
        <f>IFERROR(_xlfn.XLOOKUP($D223,'Modelling New'!$D:$D,'Modelling New'!W:W),"")</f>
        <v>0.19813457545270932</v>
      </c>
      <c r="AG223" s="222">
        <f>IFERROR(_xlfn.XLOOKUP($D223,'Modelling New'!$D:$D,'Modelling New'!AE:AE),"")</f>
        <v>0.995</v>
      </c>
      <c r="AH223" s="222">
        <f>IFERROR(_xlfn.XLOOKUP($D223,'Modelling New'!$D:$D,'Modelling New'!AF:AF),"")</f>
        <v>0.995</v>
      </c>
      <c r="AI223" s="9"/>
      <c r="AJ223" s="9"/>
      <c r="AK223" s="245"/>
      <c r="AL223" s="245"/>
      <c r="AM223" s="245"/>
      <c r="AN223" s="219"/>
      <c r="AO223" s="222"/>
      <c r="AP223" s="222"/>
      <c r="AQ223" s="222"/>
      <c r="AR223" s="223">
        <f>_xlfn.XLOOKUP(D223,'Modelling New'!$D:$D,'Modelling New'!$N:$N)</f>
        <v>130</v>
      </c>
      <c r="AS223" s="223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18">
        <f>Table13[[#This Row],[Date]]-DAY(Table13[[#This Row],[Date]])+1</f>
        <v>45962</v>
      </c>
      <c r="E224" s="9">
        <f t="shared" si="15"/>
        <v>30</v>
      </c>
      <c r="F224" s="188" t="str">
        <f>IFERROR(_xlfn.XLOOKUP($A224,Input_Raw!$A:$A,Input_Raw!$FC:$FC),"")</f>
        <v/>
      </c>
      <c r="G224" s="189" t="str">
        <f>IFERROR(_xlfn.XLOOKUP($A224,Input_Raw!$A:$A,Input_Raw!$CY:$CY),"")</f>
        <v/>
      </c>
      <c r="H224" s="189" t="str">
        <f>IFERROR(_xlfn.XLOOKUP($A224,Input_Raw!$A:$A,Input_Raw!$DA:$DA),"")</f>
        <v/>
      </c>
      <c r="I224" s="189" t="str">
        <f>IFERROR(_xlfn.XLOOKUP($A224,Input_Raw!$A:$A,Input_Raw!$CX:$CX),"")</f>
        <v/>
      </c>
      <c r="J224" s="189" t="str">
        <f>IFERROR(_xlfn.XLOOKUP($A224,Input_Raw!$A:$A,Input_Raw!$CZ:$CZ),"")</f>
        <v/>
      </c>
      <c r="K224" s="190" t="str">
        <f>IFERROR(_xlfn.XLOOKUP($A224,Input_Raw!$A:$A,Input_Raw!$DB:$DB),"")</f>
        <v/>
      </c>
      <c r="L224" s="190" t="str">
        <f>IFERROR(_xlfn.XLOOKUP($A224,Input_Raw!$A:$A,Input_Raw!$DC:$DC),"")</f>
        <v/>
      </c>
      <c r="M224" s="189" t="str">
        <f>IFERROR(_xlfn.XLOOKUP($A224,Input_Raw!$A:$A,Input_Raw!$DF:$DF),"")</f>
        <v/>
      </c>
      <c r="N224" s="189" t="str">
        <f>IFERROR(_xlfn.XLOOKUP($A224,Input_Raw!$A:$A,Input_Raw!$DG:$DG),"")</f>
        <v/>
      </c>
      <c r="O224" s="219" t="str">
        <f>IFERROR(1-(SUMIF(Plant_BD!$B:$B,$A224,Plant_BD!$AL:$AL)/($AA224+SUMIF(Plant_BD!$B:$B,$A224,Plant_BD!$AL:$AL))),"")</f>
        <v/>
      </c>
      <c r="P224" s="219"/>
      <c r="Q224" s="220" t="str">
        <f>IFERROR(1-(SUMIF(Grid_BD!$B:$B,$A224,Grid_BD!$V:$V)/($AA224+SUMIF(Grid_BD!$B:$B,$A224,Grid_BD!$V:$V))),"")</f>
        <v/>
      </c>
      <c r="R224" s="219" t="str">
        <f>IFERROR(1-(SUMIF(Grid_BD!$B:$B,$A224,Grid_BD!$V:$V)/($AA224+SUMIF(Grid_BD!$B:$B,$A224,Grid_BD!$V:$V))),"")</f>
        <v/>
      </c>
      <c r="S224" s="9"/>
      <c r="T224" s="220"/>
      <c r="U224" s="221" t="str">
        <f t="shared" si="16"/>
        <v/>
      </c>
      <c r="V224" s="221" t="str">
        <f>IFERROR(_xlfn.XLOOKUP($A224,Input_Raw!$A:$A,Input_Raw!$FG:$FG),"")</f>
        <v/>
      </c>
      <c r="W224" s="222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78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22">
        <f>IFERROR(_xlfn.XLOOKUP($D224,'Modelling New'!$D:$D,'Modelling New'!O:O),"")</f>
        <v>0.85168295119970561</v>
      </c>
      <c r="AF224" s="222">
        <f>IFERROR(_xlfn.XLOOKUP($D224,'Modelling New'!$D:$D,'Modelling New'!W:W),"")</f>
        <v>0.19813457545270932</v>
      </c>
      <c r="AG224" s="222">
        <f>IFERROR(_xlfn.XLOOKUP($D224,'Modelling New'!$D:$D,'Modelling New'!AE:AE),"")</f>
        <v>0.995</v>
      </c>
      <c r="AH224" s="222">
        <f>IFERROR(_xlfn.XLOOKUP($D224,'Modelling New'!$D:$D,'Modelling New'!AF:AF),"")</f>
        <v>0.995</v>
      </c>
      <c r="AI224" s="9"/>
      <c r="AJ224" s="9"/>
      <c r="AK224" s="245"/>
      <c r="AL224" s="245"/>
      <c r="AM224" s="245"/>
      <c r="AN224" s="219"/>
      <c r="AO224" s="222"/>
      <c r="AP224" s="222"/>
      <c r="AQ224" s="222"/>
      <c r="AR224" s="223">
        <f>_xlfn.XLOOKUP(D224,'Modelling New'!$D:$D,'Modelling New'!$N:$N)</f>
        <v>130</v>
      </c>
      <c r="AS224" s="223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18">
        <f>Table13[[#This Row],[Date]]-DAY(Table13[[#This Row],[Date]])+1</f>
        <v>45962</v>
      </c>
      <c r="E225" s="9">
        <f t="shared" si="15"/>
        <v>30</v>
      </c>
      <c r="F225" s="188" t="str">
        <f>IFERROR(_xlfn.XLOOKUP($A225,Input_Raw!$A:$A,Input_Raw!$FC:$FC),"")</f>
        <v/>
      </c>
      <c r="G225" s="178" t="str">
        <f>IFERROR(_xlfn.XLOOKUP($A225,Input_Raw!$A:$A,Input_Raw!$CY:$CY),"")</f>
        <v/>
      </c>
      <c r="H225" s="178" t="str">
        <f>IFERROR(_xlfn.XLOOKUP($A225,Input_Raw!$A:$A,Input_Raw!$DA:$DA),"")</f>
        <v/>
      </c>
      <c r="I225" s="178" t="str">
        <f>IFERROR(_xlfn.XLOOKUP($A225,Input_Raw!$A:$A,Input_Raw!$CX:$CX),"")</f>
        <v/>
      </c>
      <c r="J225" s="178" t="str">
        <f>IFERROR(_xlfn.XLOOKUP($A225,Input_Raw!$A:$A,Input_Raw!$CZ:$CZ),"")</f>
        <v/>
      </c>
      <c r="K225" s="190" t="str">
        <f>IFERROR(_xlfn.XLOOKUP($A225,Input_Raw!$A:$A,Input_Raw!$DB:$DB),"")</f>
        <v/>
      </c>
      <c r="L225" s="190" t="str">
        <f>IFERROR(_xlfn.XLOOKUP($A225,Input_Raw!$A:$A,Input_Raw!$DC:$DC),"")</f>
        <v/>
      </c>
      <c r="M225" s="189" t="str">
        <f>IFERROR(_xlfn.XLOOKUP($A225,Input_Raw!$A:$A,Input_Raw!$DF:$DF),"")</f>
        <v/>
      </c>
      <c r="N225" s="189" t="str">
        <f>IFERROR(_xlfn.XLOOKUP($A225,Input_Raw!$A:$A,Input_Raw!$DG:$DG),"")</f>
        <v/>
      </c>
      <c r="O225" s="219" t="str">
        <f>IFERROR(1-(SUMIF(Plant_BD!$B:$B,$A225,Plant_BD!$AL:$AL)/($AA225+SUMIF(Plant_BD!$B:$B,$A225,Plant_BD!$AL:$AL))),"")</f>
        <v/>
      </c>
      <c r="P225" s="219"/>
      <c r="Q225" s="220" t="str">
        <f>IFERROR(1-(SUMIF(Grid_BD!$B:$B,$A225,Grid_BD!$V:$V)/($AA225+SUMIF(Grid_BD!$B:$B,$A225,Grid_BD!$V:$V))),"")</f>
        <v/>
      </c>
      <c r="R225" s="219" t="str">
        <f>IFERROR(1-(SUMIF(Grid_BD!$B:$B,$A225,Grid_BD!$V:$V)/($AA225+SUMIF(Grid_BD!$B:$B,$A225,Grid_BD!$V:$V))),"")</f>
        <v/>
      </c>
      <c r="S225" s="9"/>
      <c r="T225" s="220"/>
      <c r="U225" s="221" t="str">
        <f t="shared" si="16"/>
        <v/>
      </c>
      <c r="V225" s="221" t="str">
        <f>IFERROR(_xlfn.XLOOKUP($A225,Input_Raw!$A:$A,Input_Raw!$FG:$FG),"")</f>
        <v/>
      </c>
      <c r="W225" s="222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78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22">
        <f>IFERROR(_xlfn.XLOOKUP($D225,'Modelling New'!$D:$D,'Modelling New'!O:O),"")</f>
        <v>0.85168295119970561</v>
      </c>
      <c r="AF225" s="222">
        <f>IFERROR(_xlfn.XLOOKUP($D225,'Modelling New'!$D:$D,'Modelling New'!W:W),"")</f>
        <v>0.19813457545270932</v>
      </c>
      <c r="AG225" s="222">
        <f>IFERROR(_xlfn.XLOOKUP($D225,'Modelling New'!$D:$D,'Modelling New'!AE:AE),"")</f>
        <v>0.995</v>
      </c>
      <c r="AH225" s="222">
        <f>IFERROR(_xlfn.XLOOKUP($D225,'Modelling New'!$D:$D,'Modelling New'!AF:AF),"")</f>
        <v>0.995</v>
      </c>
      <c r="AI225" s="9"/>
      <c r="AJ225" s="9"/>
      <c r="AK225" s="245"/>
      <c r="AL225" s="245"/>
      <c r="AM225" s="245"/>
      <c r="AN225" s="219"/>
      <c r="AO225" s="222"/>
      <c r="AP225" s="222"/>
      <c r="AQ225" s="222"/>
      <c r="AR225" s="223">
        <f>_xlfn.XLOOKUP(D225,'Modelling New'!$D:$D,'Modelling New'!$N:$N)</f>
        <v>130</v>
      </c>
      <c r="AS225" s="223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18">
        <f>Table13[[#This Row],[Date]]-DAY(Table13[[#This Row],[Date]])+1</f>
        <v>45962</v>
      </c>
      <c r="E226" s="9">
        <f t="shared" si="15"/>
        <v>30</v>
      </c>
      <c r="F226" s="188" t="str">
        <f>IFERROR(_xlfn.XLOOKUP($A226,Input_Raw!$A:$A,Input_Raw!$FC:$FC),"")</f>
        <v/>
      </c>
      <c r="G226" s="189" t="str">
        <f>IFERROR(_xlfn.XLOOKUP($A226,Input_Raw!$A:$A,Input_Raw!$CY:$CY),"")</f>
        <v/>
      </c>
      <c r="H226" s="189" t="str">
        <f>IFERROR(_xlfn.XLOOKUP($A226,Input_Raw!$A:$A,Input_Raw!$DA:$DA),"")</f>
        <v/>
      </c>
      <c r="I226" s="189" t="str">
        <f>IFERROR(_xlfn.XLOOKUP($A226,Input_Raw!$A:$A,Input_Raw!$CX:$CX),"")</f>
        <v/>
      </c>
      <c r="J226" s="189" t="str">
        <f>IFERROR(_xlfn.XLOOKUP($A226,Input_Raw!$A:$A,Input_Raw!$CZ:$CZ),"")</f>
        <v/>
      </c>
      <c r="K226" s="190" t="str">
        <f>IFERROR(_xlfn.XLOOKUP($A226,Input_Raw!$A:$A,Input_Raw!$DB:$DB),"")</f>
        <v/>
      </c>
      <c r="L226" s="190" t="str">
        <f>IFERROR(_xlfn.XLOOKUP($A226,Input_Raw!$A:$A,Input_Raw!$DC:$DC),"")</f>
        <v/>
      </c>
      <c r="M226" s="189" t="str">
        <f>IFERROR(_xlfn.XLOOKUP($A226,Input_Raw!$A:$A,Input_Raw!$DF:$DF),"")</f>
        <v/>
      </c>
      <c r="N226" s="189" t="str">
        <f>IFERROR(_xlfn.XLOOKUP($A226,Input_Raw!$A:$A,Input_Raw!$DG:$DG),"")</f>
        <v/>
      </c>
      <c r="O226" s="219" t="str">
        <f>IFERROR(1-(SUMIF(Plant_BD!$B:$B,$A226,Plant_BD!$AL:$AL)/($AA226+SUMIF(Plant_BD!$B:$B,$A226,Plant_BD!$AL:$AL))),"")</f>
        <v/>
      </c>
      <c r="P226" s="219"/>
      <c r="Q226" s="220" t="str">
        <f>IFERROR(1-(SUMIF(Grid_BD!$B:$B,$A226,Grid_BD!$V:$V)/($AA226+SUMIF(Grid_BD!$B:$B,$A226,Grid_BD!$V:$V))),"")</f>
        <v/>
      </c>
      <c r="R226" s="219" t="str">
        <f>IFERROR(1-(SUMIF(Grid_BD!$B:$B,$A226,Grid_BD!$V:$V)/($AA226+SUMIF(Grid_BD!$B:$B,$A226,Grid_BD!$V:$V))),"")</f>
        <v/>
      </c>
      <c r="S226" s="9"/>
      <c r="T226" s="220"/>
      <c r="U226" s="221" t="str">
        <f t="shared" si="16"/>
        <v/>
      </c>
      <c r="V226" s="221" t="str">
        <f>IFERROR(_xlfn.XLOOKUP($A226,Input_Raw!$A:$A,Input_Raw!$FG:$FG),"")</f>
        <v/>
      </c>
      <c r="W226" s="222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78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22">
        <f>IFERROR(_xlfn.XLOOKUP($D226,'Modelling New'!$D:$D,'Modelling New'!O:O),"")</f>
        <v>0.85168295119970561</v>
      </c>
      <c r="AF226" s="222">
        <f>IFERROR(_xlfn.XLOOKUP($D226,'Modelling New'!$D:$D,'Modelling New'!W:W),"")</f>
        <v>0.19813457545270932</v>
      </c>
      <c r="AG226" s="222">
        <f>IFERROR(_xlfn.XLOOKUP($D226,'Modelling New'!$D:$D,'Modelling New'!AE:AE),"")</f>
        <v>0.995</v>
      </c>
      <c r="AH226" s="222">
        <f>IFERROR(_xlfn.XLOOKUP($D226,'Modelling New'!$D:$D,'Modelling New'!AF:AF),"")</f>
        <v>0.995</v>
      </c>
      <c r="AI226" s="9"/>
      <c r="AJ226" s="9"/>
      <c r="AK226" s="245"/>
      <c r="AL226" s="245"/>
      <c r="AM226" s="245"/>
      <c r="AN226" s="219"/>
      <c r="AO226" s="222"/>
      <c r="AP226" s="222"/>
      <c r="AQ226" s="222"/>
      <c r="AR226" s="223">
        <f>_xlfn.XLOOKUP(D226,'Modelling New'!$D:$D,'Modelling New'!$N:$N)</f>
        <v>130</v>
      </c>
      <c r="AS226" s="223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18">
        <f>Table13[[#This Row],[Date]]-DAY(Table13[[#This Row],[Date]])+1</f>
        <v>45962</v>
      </c>
      <c r="E227" s="9">
        <f t="shared" si="15"/>
        <v>30</v>
      </c>
      <c r="F227" s="188" t="str">
        <f>IFERROR(_xlfn.XLOOKUP($A227,Input_Raw!$A:$A,Input_Raw!$FC:$FC),"")</f>
        <v/>
      </c>
      <c r="G227" s="178" t="str">
        <f>IFERROR(_xlfn.XLOOKUP($A227,Input_Raw!$A:$A,Input_Raw!$CY:$CY),"")</f>
        <v/>
      </c>
      <c r="H227" s="178" t="str">
        <f>IFERROR(_xlfn.XLOOKUP($A227,Input_Raw!$A:$A,Input_Raw!$DA:$DA),"")</f>
        <v/>
      </c>
      <c r="I227" s="178" t="str">
        <f>IFERROR(_xlfn.XLOOKUP($A227,Input_Raw!$A:$A,Input_Raw!$CX:$CX),"")</f>
        <v/>
      </c>
      <c r="J227" s="178" t="str">
        <f>IFERROR(_xlfn.XLOOKUP($A227,Input_Raw!$A:$A,Input_Raw!$CZ:$CZ),"")</f>
        <v/>
      </c>
      <c r="K227" s="190" t="str">
        <f>IFERROR(_xlfn.XLOOKUP($A227,Input_Raw!$A:$A,Input_Raw!$DB:$DB),"")</f>
        <v/>
      </c>
      <c r="L227" s="190" t="str">
        <f>IFERROR(_xlfn.XLOOKUP($A227,Input_Raw!$A:$A,Input_Raw!$DC:$DC),"")</f>
        <v/>
      </c>
      <c r="M227" s="189" t="str">
        <f>IFERROR(_xlfn.XLOOKUP($A227,Input_Raw!$A:$A,Input_Raw!$DF:$DF),"")</f>
        <v/>
      </c>
      <c r="N227" s="189" t="str">
        <f>IFERROR(_xlfn.XLOOKUP($A227,Input_Raw!$A:$A,Input_Raw!$DG:$DG),"")</f>
        <v/>
      </c>
      <c r="O227" s="219" t="str">
        <f>IFERROR(1-(SUMIF(Plant_BD!$B:$B,$A227,Plant_BD!$AL:$AL)/($AA227+SUMIF(Plant_BD!$B:$B,$A227,Plant_BD!$AL:$AL))),"")</f>
        <v/>
      </c>
      <c r="P227" s="219"/>
      <c r="Q227" s="220" t="str">
        <f>IFERROR(1-(SUMIF(Grid_BD!$B:$B,$A227,Grid_BD!$V:$V)/($AA227+SUMIF(Grid_BD!$B:$B,$A227,Grid_BD!$V:$V))),"")</f>
        <v/>
      </c>
      <c r="R227" s="219" t="str">
        <f>IFERROR(1-(SUMIF(Grid_BD!$B:$B,$A227,Grid_BD!$V:$V)/($AA227+SUMIF(Grid_BD!$B:$B,$A227,Grid_BD!$V:$V))),"")</f>
        <v/>
      </c>
      <c r="S227" s="9"/>
      <c r="T227" s="220"/>
      <c r="U227" s="221" t="str">
        <f t="shared" si="16"/>
        <v/>
      </c>
      <c r="V227" s="221" t="str">
        <f>IFERROR(_xlfn.XLOOKUP($A227,Input_Raw!$A:$A,Input_Raw!$FG:$FG),"")</f>
        <v/>
      </c>
      <c r="W227" s="222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78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22">
        <f>IFERROR(_xlfn.XLOOKUP($D227,'Modelling New'!$D:$D,'Modelling New'!O:O),"")</f>
        <v>0.85168295119970561</v>
      </c>
      <c r="AF227" s="222">
        <f>IFERROR(_xlfn.XLOOKUP($D227,'Modelling New'!$D:$D,'Modelling New'!W:W),"")</f>
        <v>0.19813457545270932</v>
      </c>
      <c r="AG227" s="222">
        <f>IFERROR(_xlfn.XLOOKUP($D227,'Modelling New'!$D:$D,'Modelling New'!AE:AE),"")</f>
        <v>0.995</v>
      </c>
      <c r="AH227" s="222">
        <f>IFERROR(_xlfn.XLOOKUP($D227,'Modelling New'!$D:$D,'Modelling New'!AF:AF),"")</f>
        <v>0.995</v>
      </c>
      <c r="AI227" s="9"/>
      <c r="AJ227" s="9"/>
      <c r="AK227" s="245"/>
      <c r="AL227" s="245"/>
      <c r="AM227" s="245"/>
      <c r="AN227" s="219"/>
      <c r="AO227" s="222"/>
      <c r="AP227" s="222"/>
      <c r="AQ227" s="222"/>
      <c r="AR227" s="223">
        <f>_xlfn.XLOOKUP(D227,'Modelling New'!$D:$D,'Modelling New'!$N:$N)</f>
        <v>130</v>
      </c>
      <c r="AS227" s="223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18">
        <f>Table13[[#This Row],[Date]]-DAY(Table13[[#This Row],[Date]])+1</f>
        <v>45962</v>
      </c>
      <c r="E228" s="9">
        <f t="shared" si="15"/>
        <v>30</v>
      </c>
      <c r="F228" s="188" t="str">
        <f>IFERROR(_xlfn.XLOOKUP($A228,Input_Raw!$A:$A,Input_Raw!$FC:$FC),"")</f>
        <v/>
      </c>
      <c r="G228" s="189" t="str">
        <f>IFERROR(_xlfn.XLOOKUP($A228,Input_Raw!$A:$A,Input_Raw!$CY:$CY),"")</f>
        <v/>
      </c>
      <c r="H228" s="189" t="str">
        <f>IFERROR(_xlfn.XLOOKUP($A228,Input_Raw!$A:$A,Input_Raw!$DA:$DA),"")</f>
        <v/>
      </c>
      <c r="I228" s="189" t="str">
        <f>IFERROR(_xlfn.XLOOKUP($A228,Input_Raw!$A:$A,Input_Raw!$CX:$CX),"")</f>
        <v/>
      </c>
      <c r="J228" s="189" t="str">
        <f>IFERROR(_xlfn.XLOOKUP($A228,Input_Raw!$A:$A,Input_Raw!$CZ:$CZ),"")</f>
        <v/>
      </c>
      <c r="K228" s="190" t="str">
        <f>IFERROR(_xlfn.XLOOKUP($A228,Input_Raw!$A:$A,Input_Raw!$DB:$DB),"")</f>
        <v/>
      </c>
      <c r="L228" s="190" t="str">
        <f>IFERROR(_xlfn.XLOOKUP($A228,Input_Raw!$A:$A,Input_Raw!$DC:$DC),"")</f>
        <v/>
      </c>
      <c r="M228" s="189" t="str">
        <f>IFERROR(_xlfn.XLOOKUP($A228,Input_Raw!$A:$A,Input_Raw!$DF:$DF),"")</f>
        <v/>
      </c>
      <c r="N228" s="189" t="str">
        <f>IFERROR(_xlfn.XLOOKUP($A228,Input_Raw!$A:$A,Input_Raw!$DG:$DG),"")</f>
        <v/>
      </c>
      <c r="O228" s="219" t="str">
        <f>IFERROR(1-(SUMIF(Plant_BD!$B:$B,$A228,Plant_BD!$AL:$AL)/($AA228+SUMIF(Plant_BD!$B:$B,$A228,Plant_BD!$AL:$AL))),"")</f>
        <v/>
      </c>
      <c r="P228" s="219"/>
      <c r="Q228" s="220" t="str">
        <f>IFERROR(1-(SUMIF(Grid_BD!$B:$B,$A228,Grid_BD!$V:$V)/($AA228+SUMIF(Grid_BD!$B:$B,$A228,Grid_BD!$V:$V))),"")</f>
        <v/>
      </c>
      <c r="R228" s="219" t="str">
        <f>IFERROR(1-(SUMIF(Grid_BD!$B:$B,$A228,Grid_BD!$V:$V)/($AA228+SUMIF(Grid_BD!$B:$B,$A228,Grid_BD!$V:$V))),"")</f>
        <v/>
      </c>
      <c r="S228" s="9"/>
      <c r="T228" s="220"/>
      <c r="U228" s="221" t="str">
        <f t="shared" si="16"/>
        <v/>
      </c>
      <c r="V228" s="221" t="str">
        <f>IFERROR(_xlfn.XLOOKUP($A228,Input_Raw!$A:$A,Input_Raw!$FG:$FG),"")</f>
        <v/>
      </c>
      <c r="W228" s="222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78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22">
        <f>IFERROR(_xlfn.XLOOKUP($D228,'Modelling New'!$D:$D,'Modelling New'!O:O),"")</f>
        <v>0.85168295119970561</v>
      </c>
      <c r="AF228" s="222">
        <f>IFERROR(_xlfn.XLOOKUP($D228,'Modelling New'!$D:$D,'Modelling New'!W:W),"")</f>
        <v>0.19813457545270932</v>
      </c>
      <c r="AG228" s="222">
        <f>IFERROR(_xlfn.XLOOKUP($D228,'Modelling New'!$D:$D,'Modelling New'!AE:AE),"")</f>
        <v>0.995</v>
      </c>
      <c r="AH228" s="222">
        <f>IFERROR(_xlfn.XLOOKUP($D228,'Modelling New'!$D:$D,'Modelling New'!AF:AF),"")</f>
        <v>0.995</v>
      </c>
      <c r="AI228" s="9"/>
      <c r="AJ228" s="9"/>
      <c r="AK228" s="245"/>
      <c r="AL228" s="245"/>
      <c r="AM228" s="245"/>
      <c r="AN228" s="219"/>
      <c r="AO228" s="222"/>
      <c r="AP228" s="222"/>
      <c r="AQ228" s="222"/>
      <c r="AR228" s="223">
        <f>_xlfn.XLOOKUP(D228,'Modelling New'!$D:$D,'Modelling New'!$N:$N)</f>
        <v>130</v>
      </c>
      <c r="AS228" s="223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18">
        <f>Table13[[#This Row],[Date]]-DAY(Table13[[#This Row],[Date]])+1</f>
        <v>45962</v>
      </c>
      <c r="E229" s="9">
        <f t="shared" si="15"/>
        <v>30</v>
      </c>
      <c r="F229" s="188" t="str">
        <f>IFERROR(_xlfn.XLOOKUP($A229,Input_Raw!$A:$A,Input_Raw!$FC:$FC),"")</f>
        <v/>
      </c>
      <c r="G229" s="178" t="str">
        <f>IFERROR(_xlfn.XLOOKUP($A229,Input_Raw!$A:$A,Input_Raw!$CY:$CY),"")</f>
        <v/>
      </c>
      <c r="H229" s="178" t="str">
        <f>IFERROR(_xlfn.XLOOKUP($A229,Input_Raw!$A:$A,Input_Raw!$DA:$DA),"")</f>
        <v/>
      </c>
      <c r="I229" s="178" t="str">
        <f>IFERROR(_xlfn.XLOOKUP($A229,Input_Raw!$A:$A,Input_Raw!$CX:$CX),"")</f>
        <v/>
      </c>
      <c r="J229" s="178" t="str">
        <f>IFERROR(_xlfn.XLOOKUP($A229,Input_Raw!$A:$A,Input_Raw!$CZ:$CZ),"")</f>
        <v/>
      </c>
      <c r="K229" s="190" t="str">
        <f>IFERROR(_xlfn.XLOOKUP($A229,Input_Raw!$A:$A,Input_Raw!$DB:$DB),"")</f>
        <v/>
      </c>
      <c r="L229" s="190" t="str">
        <f>IFERROR(_xlfn.XLOOKUP($A229,Input_Raw!$A:$A,Input_Raw!$DC:$DC),"")</f>
        <v/>
      </c>
      <c r="M229" s="189" t="str">
        <f>IFERROR(_xlfn.XLOOKUP($A229,Input_Raw!$A:$A,Input_Raw!$DF:$DF),"")</f>
        <v/>
      </c>
      <c r="N229" s="189" t="str">
        <f>IFERROR(_xlfn.XLOOKUP($A229,Input_Raw!$A:$A,Input_Raw!$DG:$DG),"")</f>
        <v/>
      </c>
      <c r="O229" s="219" t="str">
        <f>IFERROR(1-(SUMIF(Plant_BD!$B:$B,$A229,Plant_BD!$AL:$AL)/($AA229+SUMIF(Plant_BD!$B:$B,$A229,Plant_BD!$AL:$AL))),"")</f>
        <v/>
      </c>
      <c r="P229" s="219"/>
      <c r="Q229" s="220" t="str">
        <f>IFERROR(1-(SUMIF(Grid_BD!$B:$B,$A229,Grid_BD!$V:$V)/($AA229+SUMIF(Grid_BD!$B:$B,$A229,Grid_BD!$V:$V))),"")</f>
        <v/>
      </c>
      <c r="R229" s="219" t="str">
        <f>IFERROR(1-(SUMIF(Grid_BD!$B:$B,$A229,Grid_BD!$V:$V)/($AA229+SUMIF(Grid_BD!$B:$B,$A229,Grid_BD!$V:$V))),"")</f>
        <v/>
      </c>
      <c r="S229" s="9"/>
      <c r="T229" s="220"/>
      <c r="U229" s="221" t="str">
        <f t="shared" si="16"/>
        <v/>
      </c>
      <c r="V229" s="221" t="str">
        <f>IFERROR(_xlfn.XLOOKUP($A229,Input_Raw!$A:$A,Input_Raw!$FG:$FG),"")</f>
        <v/>
      </c>
      <c r="W229" s="222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78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22">
        <f>IFERROR(_xlfn.XLOOKUP($D229,'Modelling New'!$D:$D,'Modelling New'!O:O),"")</f>
        <v>0.85168295119970561</v>
      </c>
      <c r="AF229" s="222">
        <f>IFERROR(_xlfn.XLOOKUP($D229,'Modelling New'!$D:$D,'Modelling New'!W:W),"")</f>
        <v>0.19813457545270932</v>
      </c>
      <c r="AG229" s="222">
        <f>IFERROR(_xlfn.XLOOKUP($D229,'Modelling New'!$D:$D,'Modelling New'!AE:AE),"")</f>
        <v>0.995</v>
      </c>
      <c r="AH229" s="222">
        <f>IFERROR(_xlfn.XLOOKUP($D229,'Modelling New'!$D:$D,'Modelling New'!AF:AF),"")</f>
        <v>0.995</v>
      </c>
      <c r="AI229" s="9"/>
      <c r="AJ229" s="9"/>
      <c r="AK229" s="245"/>
      <c r="AL229" s="245"/>
      <c r="AM229" s="245"/>
      <c r="AN229" s="219"/>
      <c r="AO229" s="222"/>
      <c r="AP229" s="222"/>
      <c r="AQ229" s="222"/>
      <c r="AR229" s="223">
        <f>_xlfn.XLOOKUP(D229,'Modelling New'!$D:$D,'Modelling New'!$N:$N)</f>
        <v>130</v>
      </c>
      <c r="AS229" s="223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18">
        <f>Table13[[#This Row],[Date]]-DAY(Table13[[#This Row],[Date]])+1</f>
        <v>45962</v>
      </c>
      <c r="E230" s="9">
        <f t="shared" si="15"/>
        <v>30</v>
      </c>
      <c r="F230" s="188" t="str">
        <f>IFERROR(_xlfn.XLOOKUP($A230,Input_Raw!$A:$A,Input_Raw!$FC:$FC),"")</f>
        <v/>
      </c>
      <c r="G230" s="189" t="str">
        <f>IFERROR(_xlfn.XLOOKUP($A230,Input_Raw!$A:$A,Input_Raw!$CY:$CY),"")</f>
        <v/>
      </c>
      <c r="H230" s="189" t="str">
        <f>IFERROR(_xlfn.XLOOKUP($A230,Input_Raw!$A:$A,Input_Raw!$DA:$DA),"")</f>
        <v/>
      </c>
      <c r="I230" s="189" t="str">
        <f>IFERROR(_xlfn.XLOOKUP($A230,Input_Raw!$A:$A,Input_Raw!$CX:$CX),"")</f>
        <v/>
      </c>
      <c r="J230" s="189" t="str">
        <f>IFERROR(_xlfn.XLOOKUP($A230,Input_Raw!$A:$A,Input_Raw!$CZ:$CZ),"")</f>
        <v/>
      </c>
      <c r="K230" s="190" t="str">
        <f>IFERROR(_xlfn.XLOOKUP($A230,Input_Raw!$A:$A,Input_Raw!$DB:$DB),"")</f>
        <v/>
      </c>
      <c r="L230" s="190" t="str">
        <f>IFERROR(_xlfn.XLOOKUP($A230,Input_Raw!$A:$A,Input_Raw!$DC:$DC),"")</f>
        <v/>
      </c>
      <c r="M230" s="189" t="str">
        <f>IFERROR(_xlfn.XLOOKUP($A230,Input_Raw!$A:$A,Input_Raw!$DF:$DF),"")</f>
        <v/>
      </c>
      <c r="N230" s="189" t="str">
        <f>IFERROR(_xlfn.XLOOKUP($A230,Input_Raw!$A:$A,Input_Raw!$DG:$DG),"")</f>
        <v/>
      </c>
      <c r="O230" s="219" t="str">
        <f>IFERROR(1-(SUMIF(Plant_BD!$B:$B,$A230,Plant_BD!$AL:$AL)/($AA230+SUMIF(Plant_BD!$B:$B,$A230,Plant_BD!$AL:$AL))),"")</f>
        <v/>
      </c>
      <c r="P230" s="219"/>
      <c r="Q230" s="220" t="str">
        <f>IFERROR(1-(SUMIF(Grid_BD!$B:$B,$A230,Grid_BD!$V:$V)/($AA230+SUMIF(Grid_BD!$B:$B,$A230,Grid_BD!$V:$V))),"")</f>
        <v/>
      </c>
      <c r="R230" s="219" t="str">
        <f>IFERROR(1-(SUMIF(Grid_BD!$B:$B,$A230,Grid_BD!$V:$V)/($AA230+SUMIF(Grid_BD!$B:$B,$A230,Grid_BD!$V:$V))),"")</f>
        <v/>
      </c>
      <c r="S230" s="9"/>
      <c r="T230" s="220"/>
      <c r="U230" s="221" t="str">
        <f t="shared" si="16"/>
        <v/>
      </c>
      <c r="V230" s="221" t="str">
        <f>IFERROR(_xlfn.XLOOKUP($A230,Input_Raw!$A:$A,Input_Raw!$FG:$FG),"")</f>
        <v/>
      </c>
      <c r="W230" s="222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78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22">
        <f>IFERROR(_xlfn.XLOOKUP($D230,'Modelling New'!$D:$D,'Modelling New'!O:O),"")</f>
        <v>0.85168295119970561</v>
      </c>
      <c r="AF230" s="222">
        <f>IFERROR(_xlfn.XLOOKUP($D230,'Modelling New'!$D:$D,'Modelling New'!W:W),"")</f>
        <v>0.19813457545270932</v>
      </c>
      <c r="AG230" s="222">
        <f>IFERROR(_xlfn.XLOOKUP($D230,'Modelling New'!$D:$D,'Modelling New'!AE:AE),"")</f>
        <v>0.995</v>
      </c>
      <c r="AH230" s="222">
        <f>IFERROR(_xlfn.XLOOKUP($D230,'Modelling New'!$D:$D,'Modelling New'!AF:AF),"")</f>
        <v>0.995</v>
      </c>
      <c r="AI230" s="9"/>
      <c r="AJ230" s="9"/>
      <c r="AK230" s="245"/>
      <c r="AL230" s="245"/>
      <c r="AM230" s="245"/>
      <c r="AN230" s="219"/>
      <c r="AO230" s="222"/>
      <c r="AP230" s="222"/>
      <c r="AQ230" s="222"/>
      <c r="AR230" s="223">
        <f>_xlfn.XLOOKUP(D230,'Modelling New'!$D:$D,'Modelling New'!$N:$N)</f>
        <v>130</v>
      </c>
      <c r="AS230" s="223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18">
        <f>Table13[[#This Row],[Date]]-DAY(Table13[[#This Row],[Date]])+1</f>
        <v>45962</v>
      </c>
      <c r="E231" s="9">
        <f t="shared" si="15"/>
        <v>30</v>
      </c>
      <c r="F231" s="188" t="str">
        <f>IFERROR(_xlfn.XLOOKUP($A231,Input_Raw!$A:$A,Input_Raw!$FC:$FC),"")</f>
        <v/>
      </c>
      <c r="G231" s="178" t="str">
        <f>IFERROR(_xlfn.XLOOKUP($A231,Input_Raw!$A:$A,Input_Raw!$CY:$CY),"")</f>
        <v/>
      </c>
      <c r="H231" s="178" t="str">
        <f>IFERROR(_xlfn.XLOOKUP($A231,Input_Raw!$A:$A,Input_Raw!$DA:$DA),"")</f>
        <v/>
      </c>
      <c r="I231" s="178" t="str">
        <f>IFERROR(_xlfn.XLOOKUP($A231,Input_Raw!$A:$A,Input_Raw!$CX:$CX),"")</f>
        <v/>
      </c>
      <c r="J231" s="178" t="str">
        <f>IFERROR(_xlfn.XLOOKUP($A231,Input_Raw!$A:$A,Input_Raw!$CZ:$CZ),"")</f>
        <v/>
      </c>
      <c r="K231" s="190" t="str">
        <f>IFERROR(_xlfn.XLOOKUP($A231,Input_Raw!$A:$A,Input_Raw!$DB:$DB),"")</f>
        <v/>
      </c>
      <c r="L231" s="190" t="str">
        <f>IFERROR(_xlfn.XLOOKUP($A231,Input_Raw!$A:$A,Input_Raw!$DC:$DC),"")</f>
        <v/>
      </c>
      <c r="M231" s="189" t="str">
        <f>IFERROR(_xlfn.XLOOKUP($A231,Input_Raw!$A:$A,Input_Raw!$DF:$DF),"")</f>
        <v/>
      </c>
      <c r="N231" s="189" t="str">
        <f>IFERROR(_xlfn.XLOOKUP($A231,Input_Raw!$A:$A,Input_Raw!$DG:$DG),"")</f>
        <v/>
      </c>
      <c r="O231" s="219" t="str">
        <f>IFERROR(1-(SUMIF(Plant_BD!$B:$B,$A231,Plant_BD!$AL:$AL)/($AA231+SUMIF(Plant_BD!$B:$B,$A231,Plant_BD!$AL:$AL))),"")</f>
        <v/>
      </c>
      <c r="P231" s="219"/>
      <c r="Q231" s="220" t="str">
        <f>IFERROR(1-(SUMIF(Grid_BD!$B:$B,$A231,Grid_BD!$V:$V)/($AA231+SUMIF(Grid_BD!$B:$B,$A231,Grid_BD!$V:$V))),"")</f>
        <v/>
      </c>
      <c r="R231" s="219" t="str">
        <f>IFERROR(1-(SUMIF(Grid_BD!$B:$B,$A231,Grid_BD!$V:$V)/($AA231+SUMIF(Grid_BD!$B:$B,$A231,Grid_BD!$V:$V))),"")</f>
        <v/>
      </c>
      <c r="S231" s="9"/>
      <c r="T231" s="220"/>
      <c r="U231" s="221" t="str">
        <f t="shared" si="16"/>
        <v/>
      </c>
      <c r="V231" s="221" t="str">
        <f>IFERROR(_xlfn.XLOOKUP($A231,Input_Raw!$A:$A,Input_Raw!$FG:$FG),"")</f>
        <v/>
      </c>
      <c r="W231" s="222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78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22">
        <f>IFERROR(_xlfn.XLOOKUP($D231,'Modelling New'!$D:$D,'Modelling New'!O:O),"")</f>
        <v>0.85168295119970561</v>
      </c>
      <c r="AF231" s="222">
        <f>IFERROR(_xlfn.XLOOKUP($D231,'Modelling New'!$D:$D,'Modelling New'!W:W),"")</f>
        <v>0.19813457545270932</v>
      </c>
      <c r="AG231" s="222">
        <f>IFERROR(_xlfn.XLOOKUP($D231,'Modelling New'!$D:$D,'Modelling New'!AE:AE),"")</f>
        <v>0.995</v>
      </c>
      <c r="AH231" s="222">
        <f>IFERROR(_xlfn.XLOOKUP($D231,'Modelling New'!$D:$D,'Modelling New'!AF:AF),"")</f>
        <v>0.995</v>
      </c>
      <c r="AI231" s="9"/>
      <c r="AJ231" s="9"/>
      <c r="AK231" s="245"/>
      <c r="AL231" s="245"/>
      <c r="AM231" s="245"/>
      <c r="AN231" s="219"/>
      <c r="AO231" s="222"/>
      <c r="AP231" s="222"/>
      <c r="AQ231" s="222"/>
      <c r="AR231" s="223">
        <f>_xlfn.XLOOKUP(D231,'Modelling New'!$D:$D,'Modelling New'!$N:$N)</f>
        <v>130</v>
      </c>
      <c r="AS231" s="223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18">
        <f>Table13[[#This Row],[Date]]-DAY(Table13[[#This Row],[Date]])+1</f>
        <v>45962</v>
      </c>
      <c r="E232" s="9">
        <f t="shared" ref="E232:E295" si="20">DAY(EOMONTH(A232,0))</f>
        <v>30</v>
      </c>
      <c r="F232" s="188" t="str">
        <f>IFERROR(_xlfn.XLOOKUP($A232,Input_Raw!$A:$A,Input_Raw!$FC:$FC),"")</f>
        <v/>
      </c>
      <c r="G232" s="189" t="str">
        <f>IFERROR(_xlfn.XLOOKUP($A232,Input_Raw!$A:$A,Input_Raw!$CY:$CY),"")</f>
        <v/>
      </c>
      <c r="H232" s="189" t="str">
        <f>IFERROR(_xlfn.XLOOKUP($A232,Input_Raw!$A:$A,Input_Raw!$DA:$DA),"")</f>
        <v/>
      </c>
      <c r="I232" s="189" t="str">
        <f>IFERROR(_xlfn.XLOOKUP($A232,Input_Raw!$A:$A,Input_Raw!$CX:$CX),"")</f>
        <v/>
      </c>
      <c r="J232" s="189" t="str">
        <f>IFERROR(_xlfn.XLOOKUP($A232,Input_Raw!$A:$A,Input_Raw!$CZ:$CZ),"")</f>
        <v/>
      </c>
      <c r="K232" s="190" t="str">
        <f>IFERROR(_xlfn.XLOOKUP($A232,Input_Raw!$A:$A,Input_Raw!$DB:$DB),"")</f>
        <v/>
      </c>
      <c r="L232" s="190" t="str">
        <f>IFERROR(_xlfn.XLOOKUP($A232,Input_Raw!$A:$A,Input_Raw!$DC:$DC),"")</f>
        <v/>
      </c>
      <c r="M232" s="189" t="str">
        <f>IFERROR(_xlfn.XLOOKUP($A232,Input_Raw!$A:$A,Input_Raw!$DF:$DF),"")</f>
        <v/>
      </c>
      <c r="N232" s="189" t="str">
        <f>IFERROR(_xlfn.XLOOKUP($A232,Input_Raw!$A:$A,Input_Raw!$DG:$DG),"")</f>
        <v/>
      </c>
      <c r="O232" s="219" t="str">
        <f>IFERROR(1-(SUMIF(Plant_BD!$B:$B,$A232,Plant_BD!$AL:$AL)/($AA232+SUMIF(Plant_BD!$B:$B,$A232,Plant_BD!$AL:$AL))),"")</f>
        <v/>
      </c>
      <c r="P232" s="219"/>
      <c r="Q232" s="220" t="str">
        <f>IFERROR(1-(SUMIF(Grid_BD!$B:$B,$A232,Grid_BD!$V:$V)/($AA232+SUMIF(Grid_BD!$B:$B,$A232,Grid_BD!$V:$V))),"")</f>
        <v/>
      </c>
      <c r="R232" s="219" t="str">
        <f>IFERROR(1-(SUMIF(Grid_BD!$B:$B,$A232,Grid_BD!$V:$V)/($AA232+SUMIF(Grid_BD!$B:$B,$A232,Grid_BD!$V:$V))),"")</f>
        <v/>
      </c>
      <c r="S232" s="9"/>
      <c r="T232" s="220"/>
      <c r="U232" s="221" t="str">
        <f t="shared" ref="U232:U295" si="21">IFERROR(AA232/I232/AB232/1000,"")</f>
        <v/>
      </c>
      <c r="V232" s="221" t="str">
        <f>IFERROR(_xlfn.XLOOKUP($A232,Input_Raw!$A:$A,Input_Raw!$FG:$FG),"")</f>
        <v/>
      </c>
      <c r="W232" s="222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78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22">
        <f>IFERROR(_xlfn.XLOOKUP($D232,'Modelling New'!$D:$D,'Modelling New'!O:O),"")</f>
        <v>0.85168295119970561</v>
      </c>
      <c r="AF232" s="222">
        <f>IFERROR(_xlfn.XLOOKUP($D232,'Modelling New'!$D:$D,'Modelling New'!W:W),"")</f>
        <v>0.19813457545270932</v>
      </c>
      <c r="AG232" s="222">
        <f>IFERROR(_xlfn.XLOOKUP($D232,'Modelling New'!$D:$D,'Modelling New'!AE:AE),"")</f>
        <v>0.995</v>
      </c>
      <c r="AH232" s="222">
        <f>IFERROR(_xlfn.XLOOKUP($D232,'Modelling New'!$D:$D,'Modelling New'!AF:AF),"")</f>
        <v>0.995</v>
      </c>
      <c r="AI232" s="9"/>
      <c r="AJ232" s="9"/>
      <c r="AK232" s="245"/>
      <c r="AL232" s="245"/>
      <c r="AM232" s="245"/>
      <c r="AN232" s="219"/>
      <c r="AO232" s="222"/>
      <c r="AP232" s="222"/>
      <c r="AQ232" s="222"/>
      <c r="AR232" s="223">
        <f>_xlfn.XLOOKUP(D232,'Modelling New'!$D:$D,'Modelling New'!$N:$N)</f>
        <v>130</v>
      </c>
      <c r="AS232" s="223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18">
        <f>Table13[[#This Row],[Date]]-DAY(Table13[[#This Row],[Date]])+1</f>
        <v>45962</v>
      </c>
      <c r="E233" s="9">
        <f t="shared" si="20"/>
        <v>30</v>
      </c>
      <c r="F233" s="188" t="str">
        <f>IFERROR(_xlfn.XLOOKUP($A233,Input_Raw!$A:$A,Input_Raw!$FC:$FC),"")</f>
        <v/>
      </c>
      <c r="G233" s="178" t="str">
        <f>IFERROR(_xlfn.XLOOKUP($A233,Input_Raw!$A:$A,Input_Raw!$CY:$CY),"")</f>
        <v/>
      </c>
      <c r="H233" s="178" t="str">
        <f>IFERROR(_xlfn.XLOOKUP($A233,Input_Raw!$A:$A,Input_Raw!$DA:$DA),"")</f>
        <v/>
      </c>
      <c r="I233" s="178" t="str">
        <f>IFERROR(_xlfn.XLOOKUP($A233,Input_Raw!$A:$A,Input_Raw!$CX:$CX),"")</f>
        <v/>
      </c>
      <c r="J233" s="178" t="str">
        <f>IFERROR(_xlfn.XLOOKUP($A233,Input_Raw!$A:$A,Input_Raw!$CZ:$CZ),"")</f>
        <v/>
      </c>
      <c r="K233" s="190" t="str">
        <f>IFERROR(_xlfn.XLOOKUP($A233,Input_Raw!$A:$A,Input_Raw!$DB:$DB),"")</f>
        <v/>
      </c>
      <c r="L233" s="190" t="str">
        <f>IFERROR(_xlfn.XLOOKUP($A233,Input_Raw!$A:$A,Input_Raw!$DC:$DC),"")</f>
        <v/>
      </c>
      <c r="M233" s="189" t="str">
        <f>IFERROR(_xlfn.XLOOKUP($A233,Input_Raw!$A:$A,Input_Raw!$DF:$DF),"")</f>
        <v/>
      </c>
      <c r="N233" s="189" t="str">
        <f>IFERROR(_xlfn.XLOOKUP($A233,Input_Raw!$A:$A,Input_Raw!$DG:$DG),"")</f>
        <v/>
      </c>
      <c r="O233" s="219" t="str">
        <f>IFERROR(1-(SUMIF(Plant_BD!$B:$B,$A233,Plant_BD!$AL:$AL)/($AA233+SUMIF(Plant_BD!$B:$B,$A233,Plant_BD!$AL:$AL))),"")</f>
        <v/>
      </c>
      <c r="P233" s="219"/>
      <c r="Q233" s="220" t="str">
        <f>IFERROR(1-(SUMIF(Grid_BD!$B:$B,$A233,Grid_BD!$V:$V)/($AA233+SUMIF(Grid_BD!$B:$B,$A233,Grid_BD!$V:$V))),"")</f>
        <v/>
      </c>
      <c r="R233" s="219" t="str">
        <f>IFERROR(1-(SUMIF(Grid_BD!$B:$B,$A233,Grid_BD!$V:$V)/($AA233+SUMIF(Grid_BD!$B:$B,$A233,Grid_BD!$V:$V))),"")</f>
        <v/>
      </c>
      <c r="S233" s="9"/>
      <c r="T233" s="220"/>
      <c r="U233" s="221" t="str">
        <f t="shared" si="21"/>
        <v/>
      </c>
      <c r="V233" s="221" t="str">
        <f>IFERROR(_xlfn.XLOOKUP($A233,Input_Raw!$A:$A,Input_Raw!$FG:$FG),"")</f>
        <v/>
      </c>
      <c r="W233" s="222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78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22">
        <f>IFERROR(_xlfn.XLOOKUP($D233,'Modelling New'!$D:$D,'Modelling New'!O:O),"")</f>
        <v>0.85168295119970561</v>
      </c>
      <c r="AF233" s="222">
        <f>IFERROR(_xlfn.XLOOKUP($D233,'Modelling New'!$D:$D,'Modelling New'!W:W),"")</f>
        <v>0.19813457545270932</v>
      </c>
      <c r="AG233" s="222">
        <f>IFERROR(_xlfn.XLOOKUP($D233,'Modelling New'!$D:$D,'Modelling New'!AE:AE),"")</f>
        <v>0.995</v>
      </c>
      <c r="AH233" s="222">
        <f>IFERROR(_xlfn.XLOOKUP($D233,'Modelling New'!$D:$D,'Modelling New'!AF:AF),"")</f>
        <v>0.995</v>
      </c>
      <c r="AI233" s="9"/>
      <c r="AJ233" s="9"/>
      <c r="AK233" s="245"/>
      <c r="AL233" s="245"/>
      <c r="AM233" s="245"/>
      <c r="AN233" s="219"/>
      <c r="AO233" s="222"/>
      <c r="AP233" s="222"/>
      <c r="AQ233" s="222"/>
      <c r="AR233" s="223">
        <f>_xlfn.XLOOKUP(D233,'Modelling New'!$D:$D,'Modelling New'!$N:$N)</f>
        <v>130</v>
      </c>
      <c r="AS233" s="223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18">
        <f>Table13[[#This Row],[Date]]-DAY(Table13[[#This Row],[Date]])+1</f>
        <v>45962</v>
      </c>
      <c r="E234" s="9">
        <f t="shared" si="20"/>
        <v>30</v>
      </c>
      <c r="F234" s="188" t="str">
        <f>IFERROR(_xlfn.XLOOKUP($A234,Input_Raw!$A:$A,Input_Raw!$FC:$FC),"")</f>
        <v/>
      </c>
      <c r="G234" s="189" t="str">
        <f>IFERROR(_xlfn.XLOOKUP($A234,Input_Raw!$A:$A,Input_Raw!$CY:$CY),"")</f>
        <v/>
      </c>
      <c r="H234" s="189" t="str">
        <f>IFERROR(_xlfn.XLOOKUP($A234,Input_Raw!$A:$A,Input_Raw!$DA:$DA),"")</f>
        <v/>
      </c>
      <c r="I234" s="189" t="str">
        <f>IFERROR(_xlfn.XLOOKUP($A234,Input_Raw!$A:$A,Input_Raw!$CX:$CX),"")</f>
        <v/>
      </c>
      <c r="J234" s="189" t="str">
        <f>IFERROR(_xlfn.XLOOKUP($A234,Input_Raw!$A:$A,Input_Raw!$CZ:$CZ),"")</f>
        <v/>
      </c>
      <c r="K234" s="190" t="str">
        <f>IFERROR(_xlfn.XLOOKUP($A234,Input_Raw!$A:$A,Input_Raw!$DB:$DB),"")</f>
        <v/>
      </c>
      <c r="L234" s="190" t="str">
        <f>IFERROR(_xlfn.XLOOKUP($A234,Input_Raw!$A:$A,Input_Raw!$DC:$DC),"")</f>
        <v/>
      </c>
      <c r="M234" s="189" t="str">
        <f>IFERROR(_xlfn.XLOOKUP($A234,Input_Raw!$A:$A,Input_Raw!$DF:$DF),"")</f>
        <v/>
      </c>
      <c r="N234" s="189" t="str">
        <f>IFERROR(_xlfn.XLOOKUP($A234,Input_Raw!$A:$A,Input_Raw!$DG:$DG),"")</f>
        <v/>
      </c>
      <c r="O234" s="219" t="str">
        <f>IFERROR(1-(SUMIF(Plant_BD!$B:$B,$A234,Plant_BD!$AL:$AL)/($AA234+SUMIF(Plant_BD!$B:$B,$A234,Plant_BD!$AL:$AL))),"")</f>
        <v/>
      </c>
      <c r="P234" s="219"/>
      <c r="Q234" s="220" t="str">
        <f>IFERROR(1-(SUMIF(Grid_BD!$B:$B,$A234,Grid_BD!$V:$V)/($AA234+SUMIF(Grid_BD!$B:$B,$A234,Grid_BD!$V:$V))),"")</f>
        <v/>
      </c>
      <c r="R234" s="219" t="str">
        <f>IFERROR(1-(SUMIF(Grid_BD!$B:$B,$A234,Grid_BD!$V:$V)/($AA234+SUMIF(Grid_BD!$B:$B,$A234,Grid_BD!$V:$V))),"")</f>
        <v/>
      </c>
      <c r="S234" s="9"/>
      <c r="T234" s="220"/>
      <c r="U234" s="221" t="str">
        <f t="shared" si="21"/>
        <v/>
      </c>
      <c r="V234" s="221" t="str">
        <f>IFERROR(_xlfn.XLOOKUP($A234,Input_Raw!$A:$A,Input_Raw!$FG:$FG),"")</f>
        <v/>
      </c>
      <c r="W234" s="222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78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22">
        <f>IFERROR(_xlfn.XLOOKUP($D234,'Modelling New'!$D:$D,'Modelling New'!O:O),"")</f>
        <v>0.85168295119970561</v>
      </c>
      <c r="AF234" s="222">
        <f>IFERROR(_xlfn.XLOOKUP($D234,'Modelling New'!$D:$D,'Modelling New'!W:W),"")</f>
        <v>0.19813457545270932</v>
      </c>
      <c r="AG234" s="222">
        <f>IFERROR(_xlfn.XLOOKUP($D234,'Modelling New'!$D:$D,'Modelling New'!AE:AE),"")</f>
        <v>0.995</v>
      </c>
      <c r="AH234" s="222">
        <f>IFERROR(_xlfn.XLOOKUP($D234,'Modelling New'!$D:$D,'Modelling New'!AF:AF),"")</f>
        <v>0.995</v>
      </c>
      <c r="AI234" s="9"/>
      <c r="AJ234" s="9"/>
      <c r="AK234" s="245"/>
      <c r="AL234" s="245"/>
      <c r="AM234" s="245"/>
      <c r="AN234" s="219"/>
      <c r="AO234" s="222"/>
      <c r="AP234" s="222"/>
      <c r="AQ234" s="222"/>
      <c r="AR234" s="223">
        <f>_xlfn.XLOOKUP(D234,'Modelling New'!$D:$D,'Modelling New'!$N:$N)</f>
        <v>130</v>
      </c>
      <c r="AS234" s="223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18">
        <f>Table13[[#This Row],[Date]]-DAY(Table13[[#This Row],[Date]])+1</f>
        <v>45962</v>
      </c>
      <c r="E235" s="9">
        <f t="shared" si="20"/>
        <v>30</v>
      </c>
      <c r="F235" s="188" t="str">
        <f>IFERROR(_xlfn.XLOOKUP($A235,Input_Raw!$A:$A,Input_Raw!$FC:$FC),"")</f>
        <v/>
      </c>
      <c r="G235" s="178" t="str">
        <f>IFERROR(_xlfn.XLOOKUP($A235,Input_Raw!$A:$A,Input_Raw!$CY:$CY),"")</f>
        <v/>
      </c>
      <c r="H235" s="178" t="str">
        <f>IFERROR(_xlfn.XLOOKUP($A235,Input_Raw!$A:$A,Input_Raw!$DA:$DA),"")</f>
        <v/>
      </c>
      <c r="I235" s="178" t="str">
        <f>IFERROR(_xlfn.XLOOKUP($A235,Input_Raw!$A:$A,Input_Raw!$CX:$CX),"")</f>
        <v/>
      </c>
      <c r="J235" s="178" t="str">
        <f>IFERROR(_xlfn.XLOOKUP($A235,Input_Raw!$A:$A,Input_Raw!$CZ:$CZ),"")</f>
        <v/>
      </c>
      <c r="K235" s="190" t="str">
        <f>IFERROR(_xlfn.XLOOKUP($A235,Input_Raw!$A:$A,Input_Raw!$DB:$DB),"")</f>
        <v/>
      </c>
      <c r="L235" s="190" t="str">
        <f>IFERROR(_xlfn.XLOOKUP($A235,Input_Raw!$A:$A,Input_Raw!$DC:$DC),"")</f>
        <v/>
      </c>
      <c r="M235" s="189" t="str">
        <f>IFERROR(_xlfn.XLOOKUP($A235,Input_Raw!$A:$A,Input_Raw!$DF:$DF),"")</f>
        <v/>
      </c>
      <c r="N235" s="189" t="str">
        <f>IFERROR(_xlfn.XLOOKUP($A235,Input_Raw!$A:$A,Input_Raw!$DG:$DG),"")</f>
        <v/>
      </c>
      <c r="O235" s="219" t="str">
        <f>IFERROR(1-(SUMIF(Plant_BD!$B:$B,$A235,Plant_BD!$AL:$AL)/($AA235+SUMIF(Plant_BD!$B:$B,$A235,Plant_BD!$AL:$AL))),"")</f>
        <v/>
      </c>
      <c r="P235" s="219"/>
      <c r="Q235" s="220" t="str">
        <f>IFERROR(1-(SUMIF(Grid_BD!$B:$B,$A235,Grid_BD!$V:$V)/($AA235+SUMIF(Grid_BD!$B:$B,$A235,Grid_BD!$V:$V))),"")</f>
        <v/>
      </c>
      <c r="R235" s="219" t="str">
        <f>IFERROR(1-(SUMIF(Grid_BD!$B:$B,$A235,Grid_BD!$V:$V)/($AA235+SUMIF(Grid_BD!$B:$B,$A235,Grid_BD!$V:$V))),"")</f>
        <v/>
      </c>
      <c r="S235" s="9"/>
      <c r="T235" s="220"/>
      <c r="U235" s="221" t="str">
        <f t="shared" si="21"/>
        <v/>
      </c>
      <c r="V235" s="221" t="str">
        <f>IFERROR(_xlfn.XLOOKUP($A235,Input_Raw!$A:$A,Input_Raw!$FG:$FG),"")</f>
        <v/>
      </c>
      <c r="W235" s="222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78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22">
        <f>IFERROR(_xlfn.XLOOKUP($D235,'Modelling New'!$D:$D,'Modelling New'!O:O),"")</f>
        <v>0.85168295119970561</v>
      </c>
      <c r="AF235" s="222">
        <f>IFERROR(_xlfn.XLOOKUP($D235,'Modelling New'!$D:$D,'Modelling New'!W:W),"")</f>
        <v>0.19813457545270932</v>
      </c>
      <c r="AG235" s="222">
        <f>IFERROR(_xlfn.XLOOKUP($D235,'Modelling New'!$D:$D,'Modelling New'!AE:AE),"")</f>
        <v>0.995</v>
      </c>
      <c r="AH235" s="222">
        <f>IFERROR(_xlfn.XLOOKUP($D235,'Modelling New'!$D:$D,'Modelling New'!AF:AF),"")</f>
        <v>0.995</v>
      </c>
      <c r="AI235" s="9"/>
      <c r="AJ235" s="9"/>
      <c r="AK235" s="245"/>
      <c r="AL235" s="245"/>
      <c r="AM235" s="245"/>
      <c r="AN235" s="219"/>
      <c r="AO235" s="222"/>
      <c r="AP235" s="222"/>
      <c r="AQ235" s="222"/>
      <c r="AR235" s="223">
        <f>_xlfn.XLOOKUP(D235,'Modelling New'!$D:$D,'Modelling New'!$N:$N)</f>
        <v>130</v>
      </c>
      <c r="AS235" s="223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18">
        <f>Table13[[#This Row],[Date]]-DAY(Table13[[#This Row],[Date]])+1</f>
        <v>45962</v>
      </c>
      <c r="E236" s="9">
        <f t="shared" si="20"/>
        <v>30</v>
      </c>
      <c r="F236" s="188" t="str">
        <f>IFERROR(_xlfn.XLOOKUP($A236,Input_Raw!$A:$A,Input_Raw!$FC:$FC),"")</f>
        <v/>
      </c>
      <c r="G236" s="189" t="str">
        <f>IFERROR(_xlfn.XLOOKUP($A236,Input_Raw!$A:$A,Input_Raw!$CY:$CY),"")</f>
        <v/>
      </c>
      <c r="H236" s="189" t="str">
        <f>IFERROR(_xlfn.XLOOKUP($A236,Input_Raw!$A:$A,Input_Raw!$DA:$DA),"")</f>
        <v/>
      </c>
      <c r="I236" s="189" t="str">
        <f>IFERROR(_xlfn.XLOOKUP($A236,Input_Raw!$A:$A,Input_Raw!$CX:$CX),"")</f>
        <v/>
      </c>
      <c r="J236" s="189" t="str">
        <f>IFERROR(_xlfn.XLOOKUP($A236,Input_Raw!$A:$A,Input_Raw!$CZ:$CZ),"")</f>
        <v/>
      </c>
      <c r="K236" s="190" t="str">
        <f>IFERROR(_xlfn.XLOOKUP($A236,Input_Raw!$A:$A,Input_Raw!$DB:$DB),"")</f>
        <v/>
      </c>
      <c r="L236" s="190" t="str">
        <f>IFERROR(_xlfn.XLOOKUP($A236,Input_Raw!$A:$A,Input_Raw!$DC:$DC),"")</f>
        <v/>
      </c>
      <c r="M236" s="189" t="str">
        <f>IFERROR(_xlfn.XLOOKUP($A236,Input_Raw!$A:$A,Input_Raw!$DF:$DF),"")</f>
        <v/>
      </c>
      <c r="N236" s="189" t="str">
        <f>IFERROR(_xlfn.XLOOKUP($A236,Input_Raw!$A:$A,Input_Raw!$DG:$DG),"")</f>
        <v/>
      </c>
      <c r="O236" s="219" t="str">
        <f>IFERROR(1-(SUMIF(Plant_BD!$B:$B,$A236,Plant_BD!$AL:$AL)/($AA236+SUMIF(Plant_BD!$B:$B,$A236,Plant_BD!$AL:$AL))),"")</f>
        <v/>
      </c>
      <c r="P236" s="219"/>
      <c r="Q236" s="220" t="str">
        <f>IFERROR(1-(SUMIF(Grid_BD!$B:$B,$A236,Grid_BD!$V:$V)/($AA236+SUMIF(Grid_BD!$B:$B,$A236,Grid_BD!$V:$V))),"")</f>
        <v/>
      </c>
      <c r="R236" s="219" t="str">
        <f>IFERROR(1-(SUMIF(Grid_BD!$B:$B,$A236,Grid_BD!$V:$V)/($AA236+SUMIF(Grid_BD!$B:$B,$A236,Grid_BD!$V:$V))),"")</f>
        <v/>
      </c>
      <c r="S236" s="9"/>
      <c r="T236" s="220"/>
      <c r="U236" s="221" t="str">
        <f t="shared" si="21"/>
        <v/>
      </c>
      <c r="V236" s="221" t="str">
        <f>IFERROR(_xlfn.XLOOKUP($A236,Input_Raw!$A:$A,Input_Raw!$FG:$FG),"")</f>
        <v/>
      </c>
      <c r="W236" s="222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78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22">
        <f>IFERROR(_xlfn.XLOOKUP($D236,'Modelling New'!$D:$D,'Modelling New'!O:O),"")</f>
        <v>0.85168295119970561</v>
      </c>
      <c r="AF236" s="222">
        <f>IFERROR(_xlfn.XLOOKUP($D236,'Modelling New'!$D:$D,'Modelling New'!W:W),"")</f>
        <v>0.19813457545270932</v>
      </c>
      <c r="AG236" s="222">
        <f>IFERROR(_xlfn.XLOOKUP($D236,'Modelling New'!$D:$D,'Modelling New'!AE:AE),"")</f>
        <v>0.995</v>
      </c>
      <c r="AH236" s="222">
        <f>IFERROR(_xlfn.XLOOKUP($D236,'Modelling New'!$D:$D,'Modelling New'!AF:AF),"")</f>
        <v>0.995</v>
      </c>
      <c r="AI236" s="9"/>
      <c r="AJ236" s="9"/>
      <c r="AK236" s="245"/>
      <c r="AL236" s="245"/>
      <c r="AM236" s="245"/>
      <c r="AN236" s="219"/>
      <c r="AO236" s="222"/>
      <c r="AP236" s="222"/>
      <c r="AQ236" s="222"/>
      <c r="AR236" s="223">
        <f>_xlfn.XLOOKUP(D236,'Modelling New'!$D:$D,'Modelling New'!$N:$N)</f>
        <v>130</v>
      </c>
      <c r="AS236" s="223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18">
        <f>Table13[[#This Row],[Date]]-DAY(Table13[[#This Row],[Date]])+1</f>
        <v>45962</v>
      </c>
      <c r="E237" s="9">
        <f t="shared" si="20"/>
        <v>30</v>
      </c>
      <c r="F237" s="188" t="str">
        <f>IFERROR(_xlfn.XLOOKUP($A237,Input_Raw!$A:$A,Input_Raw!$FC:$FC),"")</f>
        <v/>
      </c>
      <c r="G237" s="178" t="str">
        <f>IFERROR(_xlfn.XLOOKUP($A237,Input_Raw!$A:$A,Input_Raw!$CY:$CY),"")</f>
        <v/>
      </c>
      <c r="H237" s="178" t="str">
        <f>IFERROR(_xlfn.XLOOKUP($A237,Input_Raw!$A:$A,Input_Raw!$DA:$DA),"")</f>
        <v/>
      </c>
      <c r="I237" s="178" t="str">
        <f>IFERROR(_xlfn.XLOOKUP($A237,Input_Raw!$A:$A,Input_Raw!$CX:$CX),"")</f>
        <v/>
      </c>
      <c r="J237" s="178" t="str">
        <f>IFERROR(_xlfn.XLOOKUP($A237,Input_Raw!$A:$A,Input_Raw!$CZ:$CZ),"")</f>
        <v/>
      </c>
      <c r="K237" s="190" t="str">
        <f>IFERROR(_xlfn.XLOOKUP($A237,Input_Raw!$A:$A,Input_Raw!$DB:$DB),"")</f>
        <v/>
      </c>
      <c r="L237" s="190" t="str">
        <f>IFERROR(_xlfn.XLOOKUP($A237,Input_Raw!$A:$A,Input_Raw!$DC:$DC),"")</f>
        <v/>
      </c>
      <c r="M237" s="189" t="str">
        <f>IFERROR(_xlfn.XLOOKUP($A237,Input_Raw!$A:$A,Input_Raw!$DF:$DF),"")</f>
        <v/>
      </c>
      <c r="N237" s="189" t="str">
        <f>IFERROR(_xlfn.XLOOKUP($A237,Input_Raw!$A:$A,Input_Raw!$DG:$DG),"")</f>
        <v/>
      </c>
      <c r="O237" s="219" t="str">
        <f>IFERROR(1-(SUMIF(Plant_BD!$B:$B,$A237,Plant_BD!$AL:$AL)/($AA237+SUMIF(Plant_BD!$B:$B,$A237,Plant_BD!$AL:$AL))),"")</f>
        <v/>
      </c>
      <c r="P237" s="219"/>
      <c r="Q237" s="220" t="str">
        <f>IFERROR(1-(SUMIF(Grid_BD!$B:$B,$A237,Grid_BD!$V:$V)/($AA237+SUMIF(Grid_BD!$B:$B,$A237,Grid_BD!$V:$V))),"")</f>
        <v/>
      </c>
      <c r="R237" s="219" t="str">
        <f>IFERROR(1-(SUMIF(Grid_BD!$B:$B,$A237,Grid_BD!$V:$V)/($AA237+SUMIF(Grid_BD!$B:$B,$A237,Grid_BD!$V:$V))),"")</f>
        <v/>
      </c>
      <c r="S237" s="9"/>
      <c r="T237" s="220"/>
      <c r="U237" s="221" t="str">
        <f t="shared" si="21"/>
        <v/>
      </c>
      <c r="V237" s="221" t="str">
        <f>IFERROR(_xlfn.XLOOKUP($A237,Input_Raw!$A:$A,Input_Raw!$FG:$FG),"")</f>
        <v/>
      </c>
      <c r="W237" s="222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78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22">
        <f>IFERROR(_xlfn.XLOOKUP($D237,'Modelling New'!$D:$D,'Modelling New'!O:O),"")</f>
        <v>0.85168295119970561</v>
      </c>
      <c r="AF237" s="222">
        <f>IFERROR(_xlfn.XLOOKUP($D237,'Modelling New'!$D:$D,'Modelling New'!W:W),"")</f>
        <v>0.19813457545270932</v>
      </c>
      <c r="AG237" s="222">
        <f>IFERROR(_xlfn.XLOOKUP($D237,'Modelling New'!$D:$D,'Modelling New'!AE:AE),"")</f>
        <v>0.995</v>
      </c>
      <c r="AH237" s="222">
        <f>IFERROR(_xlfn.XLOOKUP($D237,'Modelling New'!$D:$D,'Modelling New'!AF:AF),"")</f>
        <v>0.995</v>
      </c>
      <c r="AI237" s="9"/>
      <c r="AJ237" s="9"/>
      <c r="AK237" s="245"/>
      <c r="AL237" s="245"/>
      <c r="AM237" s="245"/>
      <c r="AN237" s="219"/>
      <c r="AO237" s="222"/>
      <c r="AP237" s="222"/>
      <c r="AQ237" s="222"/>
      <c r="AR237" s="223">
        <f>_xlfn.XLOOKUP(D237,'Modelling New'!$D:$D,'Modelling New'!$N:$N)</f>
        <v>130</v>
      </c>
      <c r="AS237" s="223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18">
        <f>Table13[[#This Row],[Date]]-DAY(Table13[[#This Row],[Date]])+1</f>
        <v>45962</v>
      </c>
      <c r="E238" s="9">
        <f t="shared" si="20"/>
        <v>30</v>
      </c>
      <c r="F238" s="188" t="str">
        <f>IFERROR(_xlfn.XLOOKUP($A238,Input_Raw!$A:$A,Input_Raw!$FC:$FC),"")</f>
        <v/>
      </c>
      <c r="G238" s="189" t="str">
        <f>IFERROR(_xlfn.XLOOKUP($A238,Input_Raw!$A:$A,Input_Raw!$CY:$CY),"")</f>
        <v/>
      </c>
      <c r="H238" s="189" t="str">
        <f>IFERROR(_xlfn.XLOOKUP($A238,Input_Raw!$A:$A,Input_Raw!$DA:$DA),"")</f>
        <v/>
      </c>
      <c r="I238" s="189" t="str">
        <f>IFERROR(_xlfn.XLOOKUP($A238,Input_Raw!$A:$A,Input_Raw!$CX:$CX),"")</f>
        <v/>
      </c>
      <c r="J238" s="189" t="str">
        <f>IFERROR(_xlfn.XLOOKUP($A238,Input_Raw!$A:$A,Input_Raw!$CZ:$CZ),"")</f>
        <v/>
      </c>
      <c r="K238" s="190" t="str">
        <f>IFERROR(_xlfn.XLOOKUP($A238,Input_Raw!$A:$A,Input_Raw!$DB:$DB),"")</f>
        <v/>
      </c>
      <c r="L238" s="190" t="str">
        <f>IFERROR(_xlfn.XLOOKUP($A238,Input_Raw!$A:$A,Input_Raw!$DC:$DC),"")</f>
        <v/>
      </c>
      <c r="M238" s="189" t="str">
        <f>IFERROR(_xlfn.XLOOKUP($A238,Input_Raw!$A:$A,Input_Raw!$DF:$DF),"")</f>
        <v/>
      </c>
      <c r="N238" s="189" t="str">
        <f>IFERROR(_xlfn.XLOOKUP($A238,Input_Raw!$A:$A,Input_Raw!$DG:$DG),"")</f>
        <v/>
      </c>
      <c r="O238" s="219" t="str">
        <f>IFERROR(1-(SUMIF(Plant_BD!$B:$B,$A238,Plant_BD!$AL:$AL)/($AA238+SUMIF(Plant_BD!$B:$B,$A238,Plant_BD!$AL:$AL))),"")</f>
        <v/>
      </c>
      <c r="P238" s="219"/>
      <c r="Q238" s="220" t="str">
        <f>IFERROR(1-(SUMIF(Grid_BD!$B:$B,$A238,Grid_BD!$V:$V)/($AA238+SUMIF(Grid_BD!$B:$B,$A238,Grid_BD!$V:$V))),"")</f>
        <v/>
      </c>
      <c r="R238" s="219" t="str">
        <f>IFERROR(1-(SUMIF(Grid_BD!$B:$B,$A238,Grid_BD!$V:$V)/($AA238+SUMIF(Grid_BD!$B:$B,$A238,Grid_BD!$V:$V))),"")</f>
        <v/>
      </c>
      <c r="S238" s="9"/>
      <c r="T238" s="220"/>
      <c r="U238" s="221" t="str">
        <f t="shared" si="21"/>
        <v/>
      </c>
      <c r="V238" s="221" t="str">
        <f>IFERROR(_xlfn.XLOOKUP($A238,Input_Raw!$A:$A,Input_Raw!$FG:$FG),"")</f>
        <v/>
      </c>
      <c r="W238" s="222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78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22">
        <f>IFERROR(_xlfn.XLOOKUP($D238,'Modelling New'!$D:$D,'Modelling New'!O:O),"")</f>
        <v>0.85168295119970561</v>
      </c>
      <c r="AF238" s="222">
        <f>IFERROR(_xlfn.XLOOKUP($D238,'Modelling New'!$D:$D,'Modelling New'!W:W),"")</f>
        <v>0.19813457545270932</v>
      </c>
      <c r="AG238" s="222">
        <f>IFERROR(_xlfn.XLOOKUP($D238,'Modelling New'!$D:$D,'Modelling New'!AE:AE),"")</f>
        <v>0.995</v>
      </c>
      <c r="AH238" s="222">
        <f>IFERROR(_xlfn.XLOOKUP($D238,'Modelling New'!$D:$D,'Modelling New'!AF:AF),"")</f>
        <v>0.995</v>
      </c>
      <c r="AI238" s="9"/>
      <c r="AJ238" s="9"/>
      <c r="AK238" s="245"/>
      <c r="AL238" s="245"/>
      <c r="AM238" s="245"/>
      <c r="AN238" s="219"/>
      <c r="AO238" s="222"/>
      <c r="AP238" s="222"/>
      <c r="AQ238" s="222"/>
      <c r="AR238" s="223">
        <f>_xlfn.XLOOKUP(D238,'Modelling New'!$D:$D,'Modelling New'!$N:$N)</f>
        <v>130</v>
      </c>
      <c r="AS238" s="223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18">
        <f>Table13[[#This Row],[Date]]-DAY(Table13[[#This Row],[Date]])+1</f>
        <v>45962</v>
      </c>
      <c r="E239" s="9">
        <f t="shared" si="20"/>
        <v>30</v>
      </c>
      <c r="F239" s="188" t="str">
        <f>IFERROR(_xlfn.XLOOKUP($A239,Input_Raw!$A:$A,Input_Raw!$FC:$FC),"")</f>
        <v/>
      </c>
      <c r="G239" s="178" t="str">
        <f>IFERROR(_xlfn.XLOOKUP($A239,Input_Raw!$A:$A,Input_Raw!$CY:$CY),"")</f>
        <v/>
      </c>
      <c r="H239" s="178" t="str">
        <f>IFERROR(_xlfn.XLOOKUP($A239,Input_Raw!$A:$A,Input_Raw!$DA:$DA),"")</f>
        <v/>
      </c>
      <c r="I239" s="178" t="str">
        <f>IFERROR(_xlfn.XLOOKUP($A239,Input_Raw!$A:$A,Input_Raw!$CX:$CX),"")</f>
        <v/>
      </c>
      <c r="J239" s="178" t="str">
        <f>IFERROR(_xlfn.XLOOKUP($A239,Input_Raw!$A:$A,Input_Raw!$CZ:$CZ),"")</f>
        <v/>
      </c>
      <c r="K239" s="190" t="str">
        <f>IFERROR(_xlfn.XLOOKUP($A239,Input_Raw!$A:$A,Input_Raw!$DB:$DB),"")</f>
        <v/>
      </c>
      <c r="L239" s="190" t="str">
        <f>IFERROR(_xlfn.XLOOKUP($A239,Input_Raw!$A:$A,Input_Raw!$DC:$DC),"")</f>
        <v/>
      </c>
      <c r="M239" s="189" t="str">
        <f>IFERROR(_xlfn.XLOOKUP($A239,Input_Raw!$A:$A,Input_Raw!$DF:$DF),"")</f>
        <v/>
      </c>
      <c r="N239" s="189" t="str">
        <f>IFERROR(_xlfn.XLOOKUP($A239,Input_Raw!$A:$A,Input_Raw!$DG:$DG),"")</f>
        <v/>
      </c>
      <c r="O239" s="219" t="str">
        <f>IFERROR(1-(SUMIF(Plant_BD!$B:$B,$A239,Plant_BD!$AL:$AL)/($AA239+SUMIF(Plant_BD!$B:$B,$A239,Plant_BD!$AL:$AL))),"")</f>
        <v/>
      </c>
      <c r="P239" s="219"/>
      <c r="Q239" s="220" t="str">
        <f>IFERROR(1-(SUMIF(Grid_BD!$B:$B,$A239,Grid_BD!$V:$V)/($AA239+SUMIF(Grid_BD!$B:$B,$A239,Grid_BD!$V:$V))),"")</f>
        <v/>
      </c>
      <c r="R239" s="219" t="str">
        <f>IFERROR(1-(SUMIF(Grid_BD!$B:$B,$A239,Grid_BD!$V:$V)/($AA239+SUMIF(Grid_BD!$B:$B,$A239,Grid_BD!$V:$V))),"")</f>
        <v/>
      </c>
      <c r="S239" s="9"/>
      <c r="T239" s="220"/>
      <c r="U239" s="221" t="str">
        <f t="shared" si="21"/>
        <v/>
      </c>
      <c r="V239" s="221" t="str">
        <f>IFERROR(_xlfn.XLOOKUP($A239,Input_Raw!$A:$A,Input_Raw!$FG:$FG),"")</f>
        <v/>
      </c>
      <c r="W239" s="222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78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22">
        <f>IFERROR(_xlfn.XLOOKUP($D239,'Modelling New'!$D:$D,'Modelling New'!O:O),"")</f>
        <v>0.85168295119970561</v>
      </c>
      <c r="AF239" s="222">
        <f>IFERROR(_xlfn.XLOOKUP($D239,'Modelling New'!$D:$D,'Modelling New'!W:W),"")</f>
        <v>0.19813457545270932</v>
      </c>
      <c r="AG239" s="222">
        <f>IFERROR(_xlfn.XLOOKUP($D239,'Modelling New'!$D:$D,'Modelling New'!AE:AE),"")</f>
        <v>0.995</v>
      </c>
      <c r="AH239" s="222">
        <f>IFERROR(_xlfn.XLOOKUP($D239,'Modelling New'!$D:$D,'Modelling New'!AF:AF),"")</f>
        <v>0.995</v>
      </c>
      <c r="AI239" s="9"/>
      <c r="AJ239" s="9"/>
      <c r="AK239" s="245"/>
      <c r="AL239" s="245"/>
      <c r="AM239" s="245"/>
      <c r="AN239" s="219"/>
      <c r="AO239" s="222"/>
      <c r="AP239" s="222"/>
      <c r="AQ239" s="222"/>
      <c r="AR239" s="223">
        <f>_xlfn.XLOOKUP(D239,'Modelling New'!$D:$D,'Modelling New'!$N:$N)</f>
        <v>130</v>
      </c>
      <c r="AS239" s="223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18">
        <f>Table13[[#This Row],[Date]]-DAY(Table13[[#This Row],[Date]])+1</f>
        <v>45962</v>
      </c>
      <c r="E240" s="9">
        <f t="shared" si="20"/>
        <v>30</v>
      </c>
      <c r="F240" s="188" t="str">
        <f>IFERROR(_xlfn.XLOOKUP($A240,Input_Raw!$A:$A,Input_Raw!$FC:$FC),"")</f>
        <v/>
      </c>
      <c r="G240" s="189" t="str">
        <f>IFERROR(_xlfn.XLOOKUP($A240,Input_Raw!$A:$A,Input_Raw!$CY:$CY),"")</f>
        <v/>
      </c>
      <c r="H240" s="189" t="str">
        <f>IFERROR(_xlfn.XLOOKUP($A240,Input_Raw!$A:$A,Input_Raw!$DA:$DA),"")</f>
        <v/>
      </c>
      <c r="I240" s="189" t="str">
        <f>IFERROR(_xlfn.XLOOKUP($A240,Input_Raw!$A:$A,Input_Raw!$CX:$CX),"")</f>
        <v/>
      </c>
      <c r="J240" s="189" t="str">
        <f>IFERROR(_xlfn.XLOOKUP($A240,Input_Raw!$A:$A,Input_Raw!$CZ:$CZ),"")</f>
        <v/>
      </c>
      <c r="K240" s="190" t="str">
        <f>IFERROR(_xlfn.XLOOKUP($A240,Input_Raw!$A:$A,Input_Raw!$DB:$DB),"")</f>
        <v/>
      </c>
      <c r="L240" s="190" t="str">
        <f>IFERROR(_xlfn.XLOOKUP($A240,Input_Raw!$A:$A,Input_Raw!$DC:$DC),"")</f>
        <v/>
      </c>
      <c r="M240" s="189" t="str">
        <f>IFERROR(_xlfn.XLOOKUP($A240,Input_Raw!$A:$A,Input_Raw!$DF:$DF),"")</f>
        <v/>
      </c>
      <c r="N240" s="189" t="str">
        <f>IFERROR(_xlfn.XLOOKUP($A240,Input_Raw!$A:$A,Input_Raw!$DG:$DG),"")</f>
        <v/>
      </c>
      <c r="O240" s="219" t="str">
        <f>IFERROR(1-(SUMIF(Plant_BD!$B:$B,$A240,Plant_BD!$AL:$AL)/($AA240+SUMIF(Plant_BD!$B:$B,$A240,Plant_BD!$AL:$AL))),"")</f>
        <v/>
      </c>
      <c r="P240" s="219"/>
      <c r="Q240" s="220" t="str">
        <f>IFERROR(1-(SUMIF(Grid_BD!$B:$B,$A240,Grid_BD!$V:$V)/($AA240+SUMIF(Grid_BD!$B:$B,$A240,Grid_BD!$V:$V))),"")</f>
        <v/>
      </c>
      <c r="R240" s="219" t="str">
        <f>IFERROR(1-(SUMIF(Grid_BD!$B:$B,$A240,Grid_BD!$V:$V)/($AA240+SUMIF(Grid_BD!$B:$B,$A240,Grid_BD!$V:$V))),"")</f>
        <v/>
      </c>
      <c r="S240" s="9"/>
      <c r="T240" s="220"/>
      <c r="U240" s="221" t="str">
        <f t="shared" si="21"/>
        <v/>
      </c>
      <c r="V240" s="221" t="str">
        <f>IFERROR(_xlfn.XLOOKUP($A240,Input_Raw!$A:$A,Input_Raw!$FG:$FG),"")</f>
        <v/>
      </c>
      <c r="W240" s="222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78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22">
        <f>IFERROR(_xlfn.XLOOKUP($D240,'Modelling New'!$D:$D,'Modelling New'!O:O),"")</f>
        <v>0.85168295119970561</v>
      </c>
      <c r="AF240" s="222">
        <f>IFERROR(_xlfn.XLOOKUP($D240,'Modelling New'!$D:$D,'Modelling New'!W:W),"")</f>
        <v>0.19813457545270932</v>
      </c>
      <c r="AG240" s="222">
        <f>IFERROR(_xlfn.XLOOKUP($D240,'Modelling New'!$D:$D,'Modelling New'!AE:AE),"")</f>
        <v>0.995</v>
      </c>
      <c r="AH240" s="222">
        <f>IFERROR(_xlfn.XLOOKUP($D240,'Modelling New'!$D:$D,'Modelling New'!AF:AF),"")</f>
        <v>0.995</v>
      </c>
      <c r="AI240" s="9"/>
      <c r="AJ240" s="9"/>
      <c r="AK240" s="245"/>
      <c r="AL240" s="245"/>
      <c r="AM240" s="245"/>
      <c r="AN240" s="219"/>
      <c r="AO240" s="222"/>
      <c r="AP240" s="222"/>
      <c r="AQ240" s="222"/>
      <c r="AR240" s="223">
        <f>_xlfn.XLOOKUP(D240,'Modelling New'!$D:$D,'Modelling New'!$N:$N)</f>
        <v>130</v>
      </c>
      <c r="AS240" s="223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18">
        <f>Table13[[#This Row],[Date]]-DAY(Table13[[#This Row],[Date]])+1</f>
        <v>45962</v>
      </c>
      <c r="E241" s="9">
        <f t="shared" si="20"/>
        <v>30</v>
      </c>
      <c r="F241" s="188" t="str">
        <f>IFERROR(_xlfn.XLOOKUP($A241,Input_Raw!$A:$A,Input_Raw!$FC:$FC),"")</f>
        <v/>
      </c>
      <c r="G241" s="178" t="str">
        <f>IFERROR(_xlfn.XLOOKUP($A241,Input_Raw!$A:$A,Input_Raw!$CY:$CY),"")</f>
        <v/>
      </c>
      <c r="H241" s="178" t="str">
        <f>IFERROR(_xlfn.XLOOKUP($A241,Input_Raw!$A:$A,Input_Raw!$DA:$DA),"")</f>
        <v/>
      </c>
      <c r="I241" s="178" t="str">
        <f>IFERROR(_xlfn.XLOOKUP($A241,Input_Raw!$A:$A,Input_Raw!$CX:$CX),"")</f>
        <v/>
      </c>
      <c r="J241" s="178" t="str">
        <f>IFERROR(_xlfn.XLOOKUP($A241,Input_Raw!$A:$A,Input_Raw!$CZ:$CZ),"")</f>
        <v/>
      </c>
      <c r="K241" s="190" t="str">
        <f>IFERROR(_xlfn.XLOOKUP($A241,Input_Raw!$A:$A,Input_Raw!$DB:$DB),"")</f>
        <v/>
      </c>
      <c r="L241" s="190" t="str">
        <f>IFERROR(_xlfn.XLOOKUP($A241,Input_Raw!$A:$A,Input_Raw!$DC:$DC),"")</f>
        <v/>
      </c>
      <c r="M241" s="189" t="str">
        <f>IFERROR(_xlfn.XLOOKUP($A241,Input_Raw!$A:$A,Input_Raw!$DF:$DF),"")</f>
        <v/>
      </c>
      <c r="N241" s="189" t="str">
        <f>IFERROR(_xlfn.XLOOKUP($A241,Input_Raw!$A:$A,Input_Raw!$DG:$DG),"")</f>
        <v/>
      </c>
      <c r="O241" s="219" t="str">
        <f>IFERROR(1-(SUMIF(Plant_BD!$B:$B,$A241,Plant_BD!$AL:$AL)/($AA241+SUMIF(Plant_BD!$B:$B,$A241,Plant_BD!$AL:$AL))),"")</f>
        <v/>
      </c>
      <c r="P241" s="219"/>
      <c r="Q241" s="220" t="str">
        <f>IFERROR(1-(SUMIF(Grid_BD!$B:$B,$A241,Grid_BD!$V:$V)/($AA241+SUMIF(Grid_BD!$B:$B,$A241,Grid_BD!$V:$V))),"")</f>
        <v/>
      </c>
      <c r="R241" s="219" t="str">
        <f>IFERROR(1-(SUMIF(Grid_BD!$B:$B,$A241,Grid_BD!$V:$V)/($AA241+SUMIF(Grid_BD!$B:$B,$A241,Grid_BD!$V:$V))),"")</f>
        <v/>
      </c>
      <c r="S241" s="9"/>
      <c r="T241" s="220"/>
      <c r="U241" s="221" t="str">
        <f t="shared" si="21"/>
        <v/>
      </c>
      <c r="V241" s="221" t="str">
        <f>IFERROR(_xlfn.XLOOKUP($A241,Input_Raw!$A:$A,Input_Raw!$FG:$FG),"")</f>
        <v/>
      </c>
      <c r="W241" s="222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78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22">
        <f>IFERROR(_xlfn.XLOOKUP($D241,'Modelling New'!$D:$D,'Modelling New'!O:O),"")</f>
        <v>0.85168295119970561</v>
      </c>
      <c r="AF241" s="222">
        <f>IFERROR(_xlfn.XLOOKUP($D241,'Modelling New'!$D:$D,'Modelling New'!W:W),"")</f>
        <v>0.19813457545270932</v>
      </c>
      <c r="AG241" s="222">
        <f>IFERROR(_xlfn.XLOOKUP($D241,'Modelling New'!$D:$D,'Modelling New'!AE:AE),"")</f>
        <v>0.995</v>
      </c>
      <c r="AH241" s="222">
        <f>IFERROR(_xlfn.XLOOKUP($D241,'Modelling New'!$D:$D,'Modelling New'!AF:AF),"")</f>
        <v>0.995</v>
      </c>
      <c r="AI241" s="9"/>
      <c r="AJ241" s="9"/>
      <c r="AK241" s="245"/>
      <c r="AL241" s="245"/>
      <c r="AM241" s="245"/>
      <c r="AN241" s="219"/>
      <c r="AO241" s="222"/>
      <c r="AP241" s="222"/>
      <c r="AQ241" s="222"/>
      <c r="AR241" s="223">
        <f>_xlfn.XLOOKUP(D241,'Modelling New'!$D:$D,'Modelling New'!$N:$N)</f>
        <v>130</v>
      </c>
      <c r="AS241" s="223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18">
        <f>Table13[[#This Row],[Date]]-DAY(Table13[[#This Row],[Date]])+1</f>
        <v>45962</v>
      </c>
      <c r="E242" s="9">
        <f t="shared" si="20"/>
        <v>30</v>
      </c>
      <c r="F242" s="188" t="str">
        <f>IFERROR(_xlfn.XLOOKUP($A242,Input_Raw!$A:$A,Input_Raw!$FC:$FC),"")</f>
        <v/>
      </c>
      <c r="G242" s="189" t="str">
        <f>IFERROR(_xlfn.XLOOKUP($A242,Input_Raw!$A:$A,Input_Raw!$CY:$CY),"")</f>
        <v/>
      </c>
      <c r="H242" s="189" t="str">
        <f>IFERROR(_xlfn.XLOOKUP($A242,Input_Raw!$A:$A,Input_Raw!$DA:$DA),"")</f>
        <v/>
      </c>
      <c r="I242" s="189" t="str">
        <f>IFERROR(_xlfn.XLOOKUP($A242,Input_Raw!$A:$A,Input_Raw!$CX:$CX),"")</f>
        <v/>
      </c>
      <c r="J242" s="189" t="str">
        <f>IFERROR(_xlfn.XLOOKUP($A242,Input_Raw!$A:$A,Input_Raw!$CZ:$CZ),"")</f>
        <v/>
      </c>
      <c r="K242" s="190" t="str">
        <f>IFERROR(_xlfn.XLOOKUP($A242,Input_Raw!$A:$A,Input_Raw!$DB:$DB),"")</f>
        <v/>
      </c>
      <c r="L242" s="190" t="str">
        <f>IFERROR(_xlfn.XLOOKUP($A242,Input_Raw!$A:$A,Input_Raw!$DC:$DC),"")</f>
        <v/>
      </c>
      <c r="M242" s="189" t="str">
        <f>IFERROR(_xlfn.XLOOKUP($A242,Input_Raw!$A:$A,Input_Raw!$DF:$DF),"")</f>
        <v/>
      </c>
      <c r="N242" s="189" t="str">
        <f>IFERROR(_xlfn.XLOOKUP($A242,Input_Raw!$A:$A,Input_Raw!$DG:$DG),"")</f>
        <v/>
      </c>
      <c r="O242" s="219" t="str">
        <f>IFERROR(1-(SUMIF(Plant_BD!$B:$B,$A242,Plant_BD!$AL:$AL)/($AA242+SUMIF(Plant_BD!$B:$B,$A242,Plant_BD!$AL:$AL))),"")</f>
        <v/>
      </c>
      <c r="P242" s="219"/>
      <c r="Q242" s="220" t="str">
        <f>IFERROR(1-(SUMIF(Grid_BD!$B:$B,$A242,Grid_BD!$V:$V)/($AA242+SUMIF(Grid_BD!$B:$B,$A242,Grid_BD!$V:$V))),"")</f>
        <v/>
      </c>
      <c r="R242" s="219" t="str">
        <f>IFERROR(1-(SUMIF(Grid_BD!$B:$B,$A242,Grid_BD!$V:$V)/($AA242+SUMIF(Grid_BD!$B:$B,$A242,Grid_BD!$V:$V))),"")</f>
        <v/>
      </c>
      <c r="S242" s="9"/>
      <c r="T242" s="220"/>
      <c r="U242" s="221" t="str">
        <f t="shared" si="21"/>
        <v/>
      </c>
      <c r="V242" s="221" t="str">
        <f>IFERROR(_xlfn.XLOOKUP($A242,Input_Raw!$A:$A,Input_Raw!$FG:$FG),"")</f>
        <v/>
      </c>
      <c r="W242" s="222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78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22">
        <f>IFERROR(_xlfn.XLOOKUP($D242,'Modelling New'!$D:$D,'Modelling New'!O:O),"")</f>
        <v>0.85168295119970561</v>
      </c>
      <c r="AF242" s="222">
        <f>IFERROR(_xlfn.XLOOKUP($D242,'Modelling New'!$D:$D,'Modelling New'!W:W),"")</f>
        <v>0.19813457545270932</v>
      </c>
      <c r="AG242" s="222">
        <f>IFERROR(_xlfn.XLOOKUP($D242,'Modelling New'!$D:$D,'Modelling New'!AE:AE),"")</f>
        <v>0.995</v>
      </c>
      <c r="AH242" s="222">
        <f>IFERROR(_xlfn.XLOOKUP($D242,'Modelling New'!$D:$D,'Modelling New'!AF:AF),"")</f>
        <v>0.995</v>
      </c>
      <c r="AI242" s="9"/>
      <c r="AJ242" s="9"/>
      <c r="AK242" s="245"/>
      <c r="AL242" s="245"/>
      <c r="AM242" s="245"/>
      <c r="AN242" s="219"/>
      <c r="AO242" s="222"/>
      <c r="AP242" s="222"/>
      <c r="AQ242" s="222"/>
      <c r="AR242" s="223">
        <f>_xlfn.XLOOKUP(D242,'Modelling New'!$D:$D,'Modelling New'!$N:$N)</f>
        <v>130</v>
      </c>
      <c r="AS242" s="223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18">
        <f>Table13[[#This Row],[Date]]-DAY(Table13[[#This Row],[Date]])+1</f>
        <v>45962</v>
      </c>
      <c r="E243" s="9">
        <f t="shared" si="20"/>
        <v>30</v>
      </c>
      <c r="F243" s="188" t="str">
        <f>IFERROR(_xlfn.XLOOKUP($A243,Input_Raw!$A:$A,Input_Raw!$FC:$FC),"")</f>
        <v/>
      </c>
      <c r="G243" s="178" t="str">
        <f>IFERROR(_xlfn.XLOOKUP($A243,Input_Raw!$A:$A,Input_Raw!$CY:$CY),"")</f>
        <v/>
      </c>
      <c r="H243" s="178" t="str">
        <f>IFERROR(_xlfn.XLOOKUP($A243,Input_Raw!$A:$A,Input_Raw!$DA:$DA),"")</f>
        <v/>
      </c>
      <c r="I243" s="178" t="str">
        <f>IFERROR(_xlfn.XLOOKUP($A243,Input_Raw!$A:$A,Input_Raw!$CX:$CX),"")</f>
        <v/>
      </c>
      <c r="J243" s="178" t="str">
        <f>IFERROR(_xlfn.XLOOKUP($A243,Input_Raw!$A:$A,Input_Raw!$CZ:$CZ),"")</f>
        <v/>
      </c>
      <c r="K243" s="190" t="str">
        <f>IFERROR(_xlfn.XLOOKUP($A243,Input_Raw!$A:$A,Input_Raw!$DB:$DB),"")</f>
        <v/>
      </c>
      <c r="L243" s="190" t="str">
        <f>IFERROR(_xlfn.XLOOKUP($A243,Input_Raw!$A:$A,Input_Raw!$DC:$DC),"")</f>
        <v/>
      </c>
      <c r="M243" s="189" t="str">
        <f>IFERROR(_xlfn.XLOOKUP($A243,Input_Raw!$A:$A,Input_Raw!$DF:$DF),"")</f>
        <v/>
      </c>
      <c r="N243" s="189" t="str">
        <f>IFERROR(_xlfn.XLOOKUP($A243,Input_Raw!$A:$A,Input_Raw!$DG:$DG),"")</f>
        <v/>
      </c>
      <c r="O243" s="219" t="str">
        <f>IFERROR(1-(SUMIF(Plant_BD!$B:$B,$A243,Plant_BD!$AL:$AL)/($AA243+SUMIF(Plant_BD!$B:$B,$A243,Plant_BD!$AL:$AL))),"")</f>
        <v/>
      </c>
      <c r="P243" s="219"/>
      <c r="Q243" s="220" t="str">
        <f>IFERROR(1-(SUMIF(Grid_BD!$B:$B,$A243,Grid_BD!$V:$V)/($AA243+SUMIF(Grid_BD!$B:$B,$A243,Grid_BD!$V:$V))),"")</f>
        <v/>
      </c>
      <c r="R243" s="219" t="str">
        <f>IFERROR(1-(SUMIF(Grid_BD!$B:$B,$A243,Grid_BD!$V:$V)/($AA243+SUMIF(Grid_BD!$B:$B,$A243,Grid_BD!$V:$V))),"")</f>
        <v/>
      </c>
      <c r="S243" s="9"/>
      <c r="T243" s="220"/>
      <c r="U243" s="221" t="str">
        <f t="shared" si="21"/>
        <v/>
      </c>
      <c r="V243" s="221" t="str">
        <f>IFERROR(_xlfn.XLOOKUP($A243,Input_Raw!$A:$A,Input_Raw!$FG:$FG),"")</f>
        <v/>
      </c>
      <c r="W243" s="222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78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22">
        <f>IFERROR(_xlfn.XLOOKUP($D243,'Modelling New'!$D:$D,'Modelling New'!O:O),"")</f>
        <v>0.85168295119970561</v>
      </c>
      <c r="AF243" s="222">
        <f>IFERROR(_xlfn.XLOOKUP($D243,'Modelling New'!$D:$D,'Modelling New'!W:W),"")</f>
        <v>0.19813457545270932</v>
      </c>
      <c r="AG243" s="222">
        <f>IFERROR(_xlfn.XLOOKUP($D243,'Modelling New'!$D:$D,'Modelling New'!AE:AE),"")</f>
        <v>0.995</v>
      </c>
      <c r="AH243" s="222">
        <f>IFERROR(_xlfn.XLOOKUP($D243,'Modelling New'!$D:$D,'Modelling New'!AF:AF),"")</f>
        <v>0.995</v>
      </c>
      <c r="AI243" s="9"/>
      <c r="AJ243" s="9"/>
      <c r="AK243" s="245"/>
      <c r="AL243" s="245"/>
      <c r="AM243" s="245"/>
      <c r="AN243" s="219"/>
      <c r="AO243" s="222"/>
      <c r="AP243" s="222"/>
      <c r="AQ243" s="222"/>
      <c r="AR243" s="223">
        <f>_xlfn.XLOOKUP(D243,'Modelling New'!$D:$D,'Modelling New'!$N:$N)</f>
        <v>130</v>
      </c>
      <c r="AS243" s="223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18">
        <f>Table13[[#This Row],[Date]]-DAY(Table13[[#This Row],[Date]])+1</f>
        <v>45962</v>
      </c>
      <c r="E244" s="9">
        <f t="shared" si="20"/>
        <v>30</v>
      </c>
      <c r="F244" s="188" t="str">
        <f>IFERROR(_xlfn.XLOOKUP($A244,Input_Raw!$A:$A,Input_Raw!$FC:$FC),"")</f>
        <v/>
      </c>
      <c r="G244" s="189" t="str">
        <f>IFERROR(_xlfn.XLOOKUP($A244,Input_Raw!$A:$A,Input_Raw!$CY:$CY),"")</f>
        <v/>
      </c>
      <c r="H244" s="189" t="str">
        <f>IFERROR(_xlfn.XLOOKUP($A244,Input_Raw!$A:$A,Input_Raw!$DA:$DA),"")</f>
        <v/>
      </c>
      <c r="I244" s="189" t="str">
        <f>IFERROR(_xlfn.XLOOKUP($A244,Input_Raw!$A:$A,Input_Raw!$CX:$CX),"")</f>
        <v/>
      </c>
      <c r="J244" s="189" t="str">
        <f>IFERROR(_xlfn.XLOOKUP($A244,Input_Raw!$A:$A,Input_Raw!$CZ:$CZ),"")</f>
        <v/>
      </c>
      <c r="K244" s="190" t="str">
        <f>IFERROR(_xlfn.XLOOKUP($A244,Input_Raw!$A:$A,Input_Raw!$DB:$DB),"")</f>
        <v/>
      </c>
      <c r="L244" s="190" t="str">
        <f>IFERROR(_xlfn.XLOOKUP($A244,Input_Raw!$A:$A,Input_Raw!$DC:$DC),"")</f>
        <v/>
      </c>
      <c r="M244" s="189" t="str">
        <f>IFERROR(_xlfn.XLOOKUP($A244,Input_Raw!$A:$A,Input_Raw!$DF:$DF),"")</f>
        <v/>
      </c>
      <c r="N244" s="189" t="str">
        <f>IFERROR(_xlfn.XLOOKUP($A244,Input_Raw!$A:$A,Input_Raw!$DG:$DG),"")</f>
        <v/>
      </c>
      <c r="O244" s="219" t="str">
        <f>IFERROR(1-(SUMIF(Plant_BD!$B:$B,$A244,Plant_BD!$AL:$AL)/($AA244+SUMIF(Plant_BD!$B:$B,$A244,Plant_BD!$AL:$AL))),"")</f>
        <v/>
      </c>
      <c r="P244" s="219"/>
      <c r="Q244" s="220" t="str">
        <f>IFERROR(1-(SUMIF(Grid_BD!$B:$B,$A244,Grid_BD!$V:$V)/($AA244+SUMIF(Grid_BD!$B:$B,$A244,Grid_BD!$V:$V))),"")</f>
        <v/>
      </c>
      <c r="R244" s="219" t="str">
        <f>IFERROR(1-(SUMIF(Grid_BD!$B:$B,$A244,Grid_BD!$V:$V)/($AA244+SUMIF(Grid_BD!$B:$B,$A244,Grid_BD!$V:$V))),"")</f>
        <v/>
      </c>
      <c r="S244" s="9"/>
      <c r="T244" s="220"/>
      <c r="U244" s="221" t="str">
        <f t="shared" si="21"/>
        <v/>
      </c>
      <c r="V244" s="221" t="str">
        <f>IFERROR(_xlfn.XLOOKUP($A244,Input_Raw!$A:$A,Input_Raw!$FG:$FG),"")</f>
        <v/>
      </c>
      <c r="W244" s="222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78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22">
        <f>IFERROR(_xlfn.XLOOKUP($D244,'Modelling New'!$D:$D,'Modelling New'!O:O),"")</f>
        <v>0.85168295119970561</v>
      </c>
      <c r="AF244" s="222">
        <f>IFERROR(_xlfn.XLOOKUP($D244,'Modelling New'!$D:$D,'Modelling New'!W:W),"")</f>
        <v>0.19813457545270932</v>
      </c>
      <c r="AG244" s="222">
        <f>IFERROR(_xlfn.XLOOKUP($D244,'Modelling New'!$D:$D,'Modelling New'!AE:AE),"")</f>
        <v>0.995</v>
      </c>
      <c r="AH244" s="222">
        <f>IFERROR(_xlfn.XLOOKUP($D244,'Modelling New'!$D:$D,'Modelling New'!AF:AF),"")</f>
        <v>0.995</v>
      </c>
      <c r="AI244" s="9"/>
      <c r="AJ244" s="9"/>
      <c r="AK244" s="245"/>
      <c r="AL244" s="245"/>
      <c r="AM244" s="245"/>
      <c r="AN244" s="219"/>
      <c r="AO244" s="222"/>
      <c r="AP244" s="222"/>
      <c r="AQ244" s="222"/>
      <c r="AR244" s="223">
        <f>_xlfn.XLOOKUP(D244,'Modelling New'!$D:$D,'Modelling New'!$N:$N)</f>
        <v>130</v>
      </c>
      <c r="AS244" s="223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18">
        <f>Table13[[#This Row],[Date]]-DAY(Table13[[#This Row],[Date]])+1</f>
        <v>45962</v>
      </c>
      <c r="E245" s="9">
        <f t="shared" si="20"/>
        <v>30</v>
      </c>
      <c r="F245" s="188" t="str">
        <f>IFERROR(_xlfn.XLOOKUP($A245,Input_Raw!$A:$A,Input_Raw!$FC:$FC),"")</f>
        <v/>
      </c>
      <c r="G245" s="178" t="str">
        <f>IFERROR(_xlfn.XLOOKUP($A245,Input_Raw!$A:$A,Input_Raw!$CY:$CY),"")</f>
        <v/>
      </c>
      <c r="H245" s="178" t="str">
        <f>IFERROR(_xlfn.XLOOKUP($A245,Input_Raw!$A:$A,Input_Raw!$DA:$DA),"")</f>
        <v/>
      </c>
      <c r="I245" s="178" t="str">
        <f>IFERROR(_xlfn.XLOOKUP($A245,Input_Raw!$A:$A,Input_Raw!$CX:$CX),"")</f>
        <v/>
      </c>
      <c r="J245" s="178" t="str">
        <f>IFERROR(_xlfn.XLOOKUP($A245,Input_Raw!$A:$A,Input_Raw!$CZ:$CZ),"")</f>
        <v/>
      </c>
      <c r="K245" s="190" t="str">
        <f>IFERROR(_xlfn.XLOOKUP($A245,Input_Raw!$A:$A,Input_Raw!$DB:$DB),"")</f>
        <v/>
      </c>
      <c r="L245" s="190" t="str">
        <f>IFERROR(_xlfn.XLOOKUP($A245,Input_Raw!$A:$A,Input_Raw!$DC:$DC),"")</f>
        <v/>
      </c>
      <c r="M245" s="189" t="str">
        <f>IFERROR(_xlfn.XLOOKUP($A245,Input_Raw!$A:$A,Input_Raw!$DF:$DF),"")</f>
        <v/>
      </c>
      <c r="N245" s="189" t="str">
        <f>IFERROR(_xlfn.XLOOKUP($A245,Input_Raw!$A:$A,Input_Raw!$DG:$DG),"")</f>
        <v/>
      </c>
      <c r="O245" s="219" t="str">
        <f>IFERROR(1-(SUMIF(Plant_BD!$B:$B,$A245,Plant_BD!$AL:$AL)/($AA245+SUMIF(Plant_BD!$B:$B,$A245,Plant_BD!$AL:$AL))),"")</f>
        <v/>
      </c>
      <c r="P245" s="219"/>
      <c r="Q245" s="220" t="str">
        <f>IFERROR(1-(SUMIF(Grid_BD!$B:$B,$A245,Grid_BD!$V:$V)/($AA245+SUMIF(Grid_BD!$B:$B,$A245,Grid_BD!$V:$V))),"")</f>
        <v/>
      </c>
      <c r="R245" s="219" t="str">
        <f>IFERROR(1-(SUMIF(Grid_BD!$B:$B,$A245,Grid_BD!$V:$V)/($AA245+SUMIF(Grid_BD!$B:$B,$A245,Grid_BD!$V:$V))),"")</f>
        <v/>
      </c>
      <c r="S245" s="9"/>
      <c r="T245" s="220"/>
      <c r="U245" s="221" t="str">
        <f t="shared" si="21"/>
        <v/>
      </c>
      <c r="V245" s="221" t="str">
        <f>IFERROR(_xlfn.XLOOKUP($A245,Input_Raw!$A:$A,Input_Raw!$FG:$FG),"")</f>
        <v/>
      </c>
      <c r="W245" s="222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78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22">
        <f>IFERROR(_xlfn.XLOOKUP($D245,'Modelling New'!$D:$D,'Modelling New'!O:O),"")</f>
        <v>0.85168295119970561</v>
      </c>
      <c r="AF245" s="222">
        <f>IFERROR(_xlfn.XLOOKUP($D245,'Modelling New'!$D:$D,'Modelling New'!W:W),"")</f>
        <v>0.19813457545270932</v>
      </c>
      <c r="AG245" s="222">
        <f>IFERROR(_xlfn.XLOOKUP($D245,'Modelling New'!$D:$D,'Modelling New'!AE:AE),"")</f>
        <v>0.995</v>
      </c>
      <c r="AH245" s="222">
        <f>IFERROR(_xlfn.XLOOKUP($D245,'Modelling New'!$D:$D,'Modelling New'!AF:AF),"")</f>
        <v>0.995</v>
      </c>
      <c r="AI245" s="9"/>
      <c r="AJ245" s="9"/>
      <c r="AK245" s="245"/>
      <c r="AL245" s="245"/>
      <c r="AM245" s="245"/>
      <c r="AN245" s="219"/>
      <c r="AO245" s="222"/>
      <c r="AP245" s="222"/>
      <c r="AQ245" s="222"/>
      <c r="AR245" s="223">
        <f>_xlfn.XLOOKUP(D245,'Modelling New'!$D:$D,'Modelling New'!$N:$N)</f>
        <v>130</v>
      </c>
      <c r="AS245" s="223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18">
        <f>Table13[[#This Row],[Date]]-DAY(Table13[[#This Row],[Date]])+1</f>
        <v>45962</v>
      </c>
      <c r="E246" s="9">
        <f t="shared" si="20"/>
        <v>30</v>
      </c>
      <c r="F246" s="188" t="str">
        <f>IFERROR(_xlfn.XLOOKUP($A246,Input_Raw!$A:$A,Input_Raw!$FC:$FC),"")</f>
        <v/>
      </c>
      <c r="G246" s="189" t="str">
        <f>IFERROR(_xlfn.XLOOKUP($A246,Input_Raw!$A:$A,Input_Raw!$CY:$CY),"")</f>
        <v/>
      </c>
      <c r="H246" s="189" t="str">
        <f>IFERROR(_xlfn.XLOOKUP($A246,Input_Raw!$A:$A,Input_Raw!$DA:$DA),"")</f>
        <v/>
      </c>
      <c r="I246" s="189" t="str">
        <f>IFERROR(_xlfn.XLOOKUP($A246,Input_Raw!$A:$A,Input_Raw!$CX:$CX),"")</f>
        <v/>
      </c>
      <c r="J246" s="189" t="str">
        <f>IFERROR(_xlfn.XLOOKUP($A246,Input_Raw!$A:$A,Input_Raw!$CZ:$CZ),"")</f>
        <v/>
      </c>
      <c r="K246" s="190" t="str">
        <f>IFERROR(_xlfn.XLOOKUP($A246,Input_Raw!$A:$A,Input_Raw!$DB:$DB),"")</f>
        <v/>
      </c>
      <c r="L246" s="190" t="str">
        <f>IFERROR(_xlfn.XLOOKUP($A246,Input_Raw!$A:$A,Input_Raw!$DC:$DC),"")</f>
        <v/>
      </c>
      <c r="M246" s="189" t="str">
        <f>IFERROR(_xlfn.XLOOKUP($A246,Input_Raw!$A:$A,Input_Raw!$DF:$DF),"")</f>
        <v/>
      </c>
      <c r="N246" s="189" t="str">
        <f>IFERROR(_xlfn.XLOOKUP($A246,Input_Raw!$A:$A,Input_Raw!$DG:$DG),"")</f>
        <v/>
      </c>
      <c r="O246" s="219" t="str">
        <f>IFERROR(1-(SUMIF(Plant_BD!$B:$B,$A246,Plant_BD!$AL:$AL)/($AA246+SUMIF(Plant_BD!$B:$B,$A246,Plant_BD!$AL:$AL))),"")</f>
        <v/>
      </c>
      <c r="P246" s="219"/>
      <c r="Q246" s="220" t="str">
        <f>IFERROR(1-(SUMIF(Grid_BD!$B:$B,$A246,Grid_BD!$V:$V)/($AA246+SUMIF(Grid_BD!$B:$B,$A246,Grid_BD!$V:$V))),"")</f>
        <v/>
      </c>
      <c r="R246" s="219" t="str">
        <f>IFERROR(1-(SUMIF(Grid_BD!$B:$B,$A246,Grid_BD!$V:$V)/($AA246+SUMIF(Grid_BD!$B:$B,$A246,Grid_BD!$V:$V))),"")</f>
        <v/>
      </c>
      <c r="S246" s="9"/>
      <c r="T246" s="220"/>
      <c r="U246" s="221" t="str">
        <f t="shared" si="21"/>
        <v/>
      </c>
      <c r="V246" s="221" t="str">
        <f>IFERROR(_xlfn.XLOOKUP($A246,Input_Raw!$A:$A,Input_Raw!$FG:$FG),"")</f>
        <v/>
      </c>
      <c r="W246" s="222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78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22">
        <f>IFERROR(_xlfn.XLOOKUP($D246,'Modelling New'!$D:$D,'Modelling New'!O:O),"")</f>
        <v>0.85168295119970561</v>
      </c>
      <c r="AF246" s="222">
        <f>IFERROR(_xlfn.XLOOKUP($D246,'Modelling New'!$D:$D,'Modelling New'!W:W),"")</f>
        <v>0.19813457545270932</v>
      </c>
      <c r="AG246" s="222">
        <f>IFERROR(_xlfn.XLOOKUP($D246,'Modelling New'!$D:$D,'Modelling New'!AE:AE),"")</f>
        <v>0.995</v>
      </c>
      <c r="AH246" s="222">
        <f>IFERROR(_xlfn.XLOOKUP($D246,'Modelling New'!$D:$D,'Modelling New'!AF:AF),"")</f>
        <v>0.995</v>
      </c>
      <c r="AI246" s="9"/>
      <c r="AJ246" s="9"/>
      <c r="AK246" s="245"/>
      <c r="AL246" s="245"/>
      <c r="AM246" s="245"/>
      <c r="AN246" s="219"/>
      <c r="AO246" s="222"/>
      <c r="AP246" s="222"/>
      <c r="AQ246" s="222"/>
      <c r="AR246" s="223">
        <f>_xlfn.XLOOKUP(D246,'Modelling New'!$D:$D,'Modelling New'!$N:$N)</f>
        <v>130</v>
      </c>
      <c r="AS246" s="223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18">
        <f>Table13[[#This Row],[Date]]-DAY(Table13[[#This Row],[Date]])+1</f>
        <v>45962</v>
      </c>
      <c r="E247" s="9">
        <f t="shared" si="20"/>
        <v>30</v>
      </c>
      <c r="F247" s="188" t="str">
        <f>IFERROR(_xlfn.XLOOKUP($A247,Input_Raw!$A:$A,Input_Raw!$FC:$FC),"")</f>
        <v/>
      </c>
      <c r="G247" s="178" t="str">
        <f>IFERROR(_xlfn.XLOOKUP($A247,Input_Raw!$A:$A,Input_Raw!$CY:$CY),"")</f>
        <v/>
      </c>
      <c r="H247" s="178" t="str">
        <f>IFERROR(_xlfn.XLOOKUP($A247,Input_Raw!$A:$A,Input_Raw!$DA:$DA),"")</f>
        <v/>
      </c>
      <c r="I247" s="178" t="str">
        <f>IFERROR(_xlfn.XLOOKUP($A247,Input_Raw!$A:$A,Input_Raw!$CX:$CX),"")</f>
        <v/>
      </c>
      <c r="J247" s="178" t="str">
        <f>IFERROR(_xlfn.XLOOKUP($A247,Input_Raw!$A:$A,Input_Raw!$CZ:$CZ),"")</f>
        <v/>
      </c>
      <c r="K247" s="190" t="str">
        <f>IFERROR(_xlfn.XLOOKUP($A247,Input_Raw!$A:$A,Input_Raw!$DB:$DB),"")</f>
        <v/>
      </c>
      <c r="L247" s="190" t="str">
        <f>IFERROR(_xlfn.XLOOKUP($A247,Input_Raw!$A:$A,Input_Raw!$DC:$DC),"")</f>
        <v/>
      </c>
      <c r="M247" s="189" t="str">
        <f>IFERROR(_xlfn.XLOOKUP($A247,Input_Raw!$A:$A,Input_Raw!$DF:$DF),"")</f>
        <v/>
      </c>
      <c r="N247" s="189" t="str">
        <f>IFERROR(_xlfn.XLOOKUP($A247,Input_Raw!$A:$A,Input_Raw!$DG:$DG),"")</f>
        <v/>
      </c>
      <c r="O247" s="219" t="str">
        <f>IFERROR(1-(SUMIF(Plant_BD!$B:$B,$A247,Plant_BD!$AL:$AL)/($AA247+SUMIF(Plant_BD!$B:$B,$A247,Plant_BD!$AL:$AL))),"")</f>
        <v/>
      </c>
      <c r="P247" s="219"/>
      <c r="Q247" s="220" t="str">
        <f>IFERROR(1-(SUMIF(Grid_BD!$B:$B,$A247,Grid_BD!$V:$V)/($AA247+SUMIF(Grid_BD!$B:$B,$A247,Grid_BD!$V:$V))),"")</f>
        <v/>
      </c>
      <c r="R247" s="219" t="str">
        <f>IFERROR(1-(SUMIF(Grid_BD!$B:$B,$A247,Grid_BD!$V:$V)/($AA247+SUMIF(Grid_BD!$B:$B,$A247,Grid_BD!$V:$V))),"")</f>
        <v/>
      </c>
      <c r="S247" s="9"/>
      <c r="T247" s="220"/>
      <c r="U247" s="221" t="str">
        <f t="shared" si="21"/>
        <v/>
      </c>
      <c r="V247" s="221" t="str">
        <f>IFERROR(_xlfn.XLOOKUP($A247,Input_Raw!$A:$A,Input_Raw!$FG:$FG),"")</f>
        <v/>
      </c>
      <c r="W247" s="222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78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22">
        <f>IFERROR(_xlfn.XLOOKUP($D247,'Modelling New'!$D:$D,'Modelling New'!O:O),"")</f>
        <v>0.85168295119970561</v>
      </c>
      <c r="AF247" s="222">
        <f>IFERROR(_xlfn.XLOOKUP($D247,'Modelling New'!$D:$D,'Modelling New'!W:W),"")</f>
        <v>0.19813457545270932</v>
      </c>
      <c r="AG247" s="222">
        <f>IFERROR(_xlfn.XLOOKUP($D247,'Modelling New'!$D:$D,'Modelling New'!AE:AE),"")</f>
        <v>0.995</v>
      </c>
      <c r="AH247" s="222">
        <f>IFERROR(_xlfn.XLOOKUP($D247,'Modelling New'!$D:$D,'Modelling New'!AF:AF),"")</f>
        <v>0.995</v>
      </c>
      <c r="AI247" s="9"/>
      <c r="AJ247" s="9"/>
      <c r="AK247" s="245"/>
      <c r="AL247" s="245"/>
      <c r="AM247" s="245"/>
      <c r="AN247" s="219"/>
      <c r="AO247" s="222"/>
      <c r="AP247" s="222"/>
      <c r="AQ247" s="222"/>
      <c r="AR247" s="223">
        <f>_xlfn.XLOOKUP(D247,'Modelling New'!$D:$D,'Modelling New'!$N:$N)</f>
        <v>130</v>
      </c>
      <c r="AS247" s="223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18">
        <f>Table13[[#This Row],[Date]]-DAY(Table13[[#This Row],[Date]])+1</f>
        <v>45962</v>
      </c>
      <c r="E248" s="9">
        <f t="shared" si="20"/>
        <v>30</v>
      </c>
      <c r="F248" s="188" t="str">
        <f>IFERROR(_xlfn.XLOOKUP($A248,Input_Raw!$A:$A,Input_Raw!$FC:$FC),"")</f>
        <v/>
      </c>
      <c r="G248" s="189" t="str">
        <f>IFERROR(_xlfn.XLOOKUP($A248,Input_Raw!$A:$A,Input_Raw!$CY:$CY),"")</f>
        <v/>
      </c>
      <c r="H248" s="189" t="str">
        <f>IFERROR(_xlfn.XLOOKUP($A248,Input_Raw!$A:$A,Input_Raw!$DA:$DA),"")</f>
        <v/>
      </c>
      <c r="I248" s="189" t="str">
        <f>IFERROR(_xlfn.XLOOKUP($A248,Input_Raw!$A:$A,Input_Raw!$CX:$CX),"")</f>
        <v/>
      </c>
      <c r="J248" s="189" t="str">
        <f>IFERROR(_xlfn.XLOOKUP($A248,Input_Raw!$A:$A,Input_Raw!$CZ:$CZ),"")</f>
        <v/>
      </c>
      <c r="K248" s="190" t="str">
        <f>IFERROR(_xlfn.XLOOKUP($A248,Input_Raw!$A:$A,Input_Raw!$DB:$DB),"")</f>
        <v/>
      </c>
      <c r="L248" s="190" t="str">
        <f>IFERROR(_xlfn.XLOOKUP($A248,Input_Raw!$A:$A,Input_Raw!$DC:$DC),"")</f>
        <v/>
      </c>
      <c r="M248" s="189" t="str">
        <f>IFERROR(_xlfn.XLOOKUP($A248,Input_Raw!$A:$A,Input_Raw!$DF:$DF),"")</f>
        <v/>
      </c>
      <c r="N248" s="189" t="str">
        <f>IFERROR(_xlfn.XLOOKUP($A248,Input_Raw!$A:$A,Input_Raw!$DG:$DG),"")</f>
        <v/>
      </c>
      <c r="O248" s="219" t="str">
        <f>IFERROR(1-(SUMIF(Plant_BD!$B:$B,$A248,Plant_BD!$AL:$AL)/($AA248+SUMIF(Plant_BD!$B:$B,$A248,Plant_BD!$AL:$AL))),"")</f>
        <v/>
      </c>
      <c r="P248" s="219"/>
      <c r="Q248" s="220" t="str">
        <f>IFERROR(1-(SUMIF(Grid_BD!$B:$B,$A248,Grid_BD!$V:$V)/($AA248+SUMIF(Grid_BD!$B:$B,$A248,Grid_BD!$V:$V))),"")</f>
        <v/>
      </c>
      <c r="R248" s="219" t="str">
        <f>IFERROR(1-(SUMIF(Grid_BD!$B:$B,$A248,Grid_BD!$V:$V)/($AA248+SUMIF(Grid_BD!$B:$B,$A248,Grid_BD!$V:$V))),"")</f>
        <v/>
      </c>
      <c r="S248" s="9"/>
      <c r="T248" s="220"/>
      <c r="U248" s="221" t="str">
        <f t="shared" si="21"/>
        <v/>
      </c>
      <c r="V248" s="221" t="str">
        <f>IFERROR(_xlfn.XLOOKUP($A248,Input_Raw!$A:$A,Input_Raw!$FG:$FG),"")</f>
        <v/>
      </c>
      <c r="W248" s="222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78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22">
        <f>IFERROR(_xlfn.XLOOKUP($D248,'Modelling New'!$D:$D,'Modelling New'!O:O),"")</f>
        <v>0.85168295119970561</v>
      </c>
      <c r="AF248" s="222">
        <f>IFERROR(_xlfn.XLOOKUP($D248,'Modelling New'!$D:$D,'Modelling New'!W:W),"")</f>
        <v>0.19813457545270932</v>
      </c>
      <c r="AG248" s="222">
        <f>IFERROR(_xlfn.XLOOKUP($D248,'Modelling New'!$D:$D,'Modelling New'!AE:AE),"")</f>
        <v>0.995</v>
      </c>
      <c r="AH248" s="222">
        <f>IFERROR(_xlfn.XLOOKUP($D248,'Modelling New'!$D:$D,'Modelling New'!AF:AF),"")</f>
        <v>0.995</v>
      </c>
      <c r="AI248" s="9"/>
      <c r="AJ248" s="9"/>
      <c r="AK248" s="245"/>
      <c r="AL248" s="245"/>
      <c r="AM248" s="245"/>
      <c r="AN248" s="219"/>
      <c r="AO248" s="222"/>
      <c r="AP248" s="222"/>
      <c r="AQ248" s="222"/>
      <c r="AR248" s="223">
        <f>_xlfn.XLOOKUP(D248,'Modelling New'!$D:$D,'Modelling New'!$N:$N)</f>
        <v>130</v>
      </c>
      <c r="AS248" s="223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18">
        <f>Table13[[#This Row],[Date]]-DAY(Table13[[#This Row],[Date]])+1</f>
        <v>45992</v>
      </c>
      <c r="E249" s="9">
        <f t="shared" si="20"/>
        <v>31</v>
      </c>
      <c r="F249" s="188" t="str">
        <f>IFERROR(_xlfn.XLOOKUP($A249,Input_Raw!$A:$A,Input_Raw!$FC:$FC),"")</f>
        <v/>
      </c>
      <c r="G249" s="178" t="str">
        <f>IFERROR(_xlfn.XLOOKUP($A249,Input_Raw!$A:$A,Input_Raw!$CY:$CY),"")</f>
        <v/>
      </c>
      <c r="H249" s="178" t="str">
        <f>IFERROR(_xlfn.XLOOKUP($A249,Input_Raw!$A:$A,Input_Raw!$DA:$DA),"")</f>
        <v/>
      </c>
      <c r="I249" s="178" t="str">
        <f>IFERROR(_xlfn.XLOOKUP($A249,Input_Raw!$A:$A,Input_Raw!$CX:$CX),"")</f>
        <v/>
      </c>
      <c r="J249" s="178" t="str">
        <f>IFERROR(_xlfn.XLOOKUP($A249,Input_Raw!$A:$A,Input_Raw!$CZ:$CZ),"")</f>
        <v/>
      </c>
      <c r="K249" s="190" t="str">
        <f>IFERROR(_xlfn.XLOOKUP($A249,Input_Raw!$A:$A,Input_Raw!$DB:$DB),"")</f>
        <v/>
      </c>
      <c r="L249" s="190" t="str">
        <f>IFERROR(_xlfn.XLOOKUP($A249,Input_Raw!$A:$A,Input_Raw!$DC:$DC),"")</f>
        <v/>
      </c>
      <c r="M249" s="189" t="str">
        <f>IFERROR(_xlfn.XLOOKUP($A249,Input_Raw!$A:$A,Input_Raw!$DF:$DF),"")</f>
        <v/>
      </c>
      <c r="N249" s="189" t="str">
        <f>IFERROR(_xlfn.XLOOKUP($A249,Input_Raw!$A:$A,Input_Raw!$DG:$DG),"")</f>
        <v/>
      </c>
      <c r="O249" s="219" t="str">
        <f>IFERROR(1-(SUMIF(Plant_BD!$B:$B,$A249,Plant_BD!$AL:$AL)/($AA249+SUMIF(Plant_BD!$B:$B,$A249,Plant_BD!$AL:$AL))),"")</f>
        <v/>
      </c>
      <c r="P249" s="219"/>
      <c r="Q249" s="220" t="str">
        <f>IFERROR(1-(SUMIF(Grid_BD!$B:$B,$A249,Grid_BD!$V:$V)/($AA249+SUMIF(Grid_BD!$B:$B,$A249,Grid_BD!$V:$V))),"")</f>
        <v/>
      </c>
      <c r="R249" s="219" t="str">
        <f>IFERROR(1-(SUMIF(Grid_BD!$B:$B,$A249,Grid_BD!$V:$V)/($AA249+SUMIF(Grid_BD!$B:$B,$A249,Grid_BD!$V:$V))),"")</f>
        <v/>
      </c>
      <c r="S249" s="9"/>
      <c r="T249" s="220"/>
      <c r="U249" s="221" t="str">
        <f t="shared" si="21"/>
        <v/>
      </c>
      <c r="V249" s="221" t="str">
        <f>IFERROR(_xlfn.XLOOKUP($A249,Input_Raw!$A:$A,Input_Raw!$FG:$FG),"")</f>
        <v/>
      </c>
      <c r="W249" s="222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78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22">
        <f>IFERROR(_xlfn.XLOOKUP($D249,'Modelling New'!$D:$D,'Modelling New'!O:O),"")</f>
        <v>0.85944279883329133</v>
      </c>
      <c r="AF249" s="222">
        <f>IFERROR(_xlfn.XLOOKUP($D249,'Modelling New'!$D:$D,'Modelling New'!W:W),"")</f>
        <v>0.19083326662266092</v>
      </c>
      <c r="AG249" s="222">
        <f>IFERROR(_xlfn.XLOOKUP($D249,'Modelling New'!$D:$D,'Modelling New'!AE:AE),"")</f>
        <v>0.995</v>
      </c>
      <c r="AH249" s="222">
        <f>IFERROR(_xlfn.XLOOKUP($D249,'Modelling New'!$D:$D,'Modelling New'!AF:AF),"")</f>
        <v>0.995</v>
      </c>
      <c r="AI249" s="9"/>
      <c r="AJ249" s="9"/>
      <c r="AK249" s="245"/>
      <c r="AL249" s="245"/>
      <c r="AM249" s="245"/>
      <c r="AN249" s="219"/>
      <c r="AO249" s="222"/>
      <c r="AP249" s="222"/>
      <c r="AQ249" s="222"/>
      <c r="AR249" s="223">
        <f>_xlfn.XLOOKUP(D249,'Modelling New'!$D:$D,'Modelling New'!$N:$N)</f>
        <v>130</v>
      </c>
      <c r="AS249" s="223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18">
        <f>Table13[[#This Row],[Date]]-DAY(Table13[[#This Row],[Date]])+1</f>
        <v>45992</v>
      </c>
      <c r="E250" s="9">
        <f t="shared" si="20"/>
        <v>31</v>
      </c>
      <c r="F250" s="188" t="str">
        <f>IFERROR(_xlfn.XLOOKUP($A250,Input_Raw!$A:$A,Input_Raw!$FC:$FC),"")</f>
        <v/>
      </c>
      <c r="G250" s="189" t="str">
        <f>IFERROR(_xlfn.XLOOKUP($A250,Input_Raw!$A:$A,Input_Raw!$CY:$CY),"")</f>
        <v/>
      </c>
      <c r="H250" s="189" t="str">
        <f>IFERROR(_xlfn.XLOOKUP($A250,Input_Raw!$A:$A,Input_Raw!$DA:$DA),"")</f>
        <v/>
      </c>
      <c r="I250" s="189" t="str">
        <f>IFERROR(_xlfn.XLOOKUP($A250,Input_Raw!$A:$A,Input_Raw!$CX:$CX),"")</f>
        <v/>
      </c>
      <c r="J250" s="189" t="str">
        <f>IFERROR(_xlfn.XLOOKUP($A250,Input_Raw!$A:$A,Input_Raw!$CZ:$CZ),"")</f>
        <v/>
      </c>
      <c r="K250" s="190" t="str">
        <f>IFERROR(_xlfn.XLOOKUP($A250,Input_Raw!$A:$A,Input_Raw!$DB:$DB),"")</f>
        <v/>
      </c>
      <c r="L250" s="190" t="str">
        <f>IFERROR(_xlfn.XLOOKUP($A250,Input_Raw!$A:$A,Input_Raw!$DC:$DC),"")</f>
        <v/>
      </c>
      <c r="M250" s="189" t="str">
        <f>IFERROR(_xlfn.XLOOKUP($A250,Input_Raw!$A:$A,Input_Raw!$DF:$DF),"")</f>
        <v/>
      </c>
      <c r="N250" s="189" t="str">
        <f>IFERROR(_xlfn.XLOOKUP($A250,Input_Raw!$A:$A,Input_Raw!$DG:$DG),"")</f>
        <v/>
      </c>
      <c r="O250" s="219" t="str">
        <f>IFERROR(1-(SUMIF(Plant_BD!$B:$B,$A250,Plant_BD!$AL:$AL)/($AA250+SUMIF(Plant_BD!$B:$B,$A250,Plant_BD!$AL:$AL))),"")</f>
        <v/>
      </c>
      <c r="P250" s="219"/>
      <c r="Q250" s="220" t="str">
        <f>IFERROR(1-(SUMIF(Grid_BD!$B:$B,$A250,Grid_BD!$V:$V)/($AA250+SUMIF(Grid_BD!$B:$B,$A250,Grid_BD!$V:$V))),"")</f>
        <v/>
      </c>
      <c r="R250" s="219" t="str">
        <f>IFERROR(1-(SUMIF(Grid_BD!$B:$B,$A250,Grid_BD!$V:$V)/($AA250+SUMIF(Grid_BD!$B:$B,$A250,Grid_BD!$V:$V))),"")</f>
        <v/>
      </c>
      <c r="S250" s="9"/>
      <c r="T250" s="220"/>
      <c r="U250" s="221" t="str">
        <f t="shared" si="21"/>
        <v/>
      </c>
      <c r="V250" s="221" t="str">
        <f>IFERROR(_xlfn.XLOOKUP($A250,Input_Raw!$A:$A,Input_Raw!$FG:$FG),"")</f>
        <v/>
      </c>
      <c r="W250" s="222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78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22">
        <f>IFERROR(_xlfn.XLOOKUP($D250,'Modelling New'!$D:$D,'Modelling New'!O:O),"")</f>
        <v>0.85944279883329133</v>
      </c>
      <c r="AF250" s="222">
        <f>IFERROR(_xlfn.XLOOKUP($D250,'Modelling New'!$D:$D,'Modelling New'!W:W),"")</f>
        <v>0.19083326662266092</v>
      </c>
      <c r="AG250" s="222">
        <f>IFERROR(_xlfn.XLOOKUP($D250,'Modelling New'!$D:$D,'Modelling New'!AE:AE),"")</f>
        <v>0.995</v>
      </c>
      <c r="AH250" s="222">
        <f>IFERROR(_xlfn.XLOOKUP($D250,'Modelling New'!$D:$D,'Modelling New'!AF:AF),"")</f>
        <v>0.995</v>
      </c>
      <c r="AI250" s="9"/>
      <c r="AJ250" s="9"/>
      <c r="AK250" s="245"/>
      <c r="AL250" s="245"/>
      <c r="AM250" s="245"/>
      <c r="AN250" s="219"/>
      <c r="AO250" s="222"/>
      <c r="AP250" s="222"/>
      <c r="AQ250" s="222"/>
      <c r="AR250" s="223">
        <f>_xlfn.XLOOKUP(D250,'Modelling New'!$D:$D,'Modelling New'!$N:$N)</f>
        <v>130</v>
      </c>
      <c r="AS250" s="223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18">
        <f>Table13[[#This Row],[Date]]-DAY(Table13[[#This Row],[Date]])+1</f>
        <v>45992</v>
      </c>
      <c r="E251" s="9">
        <f t="shared" si="20"/>
        <v>31</v>
      </c>
      <c r="F251" s="188" t="str">
        <f>IFERROR(_xlfn.XLOOKUP($A251,Input_Raw!$A:$A,Input_Raw!$FC:$FC),"")</f>
        <v/>
      </c>
      <c r="G251" s="178" t="str">
        <f>IFERROR(_xlfn.XLOOKUP($A251,Input_Raw!$A:$A,Input_Raw!$CY:$CY),"")</f>
        <v/>
      </c>
      <c r="H251" s="178" t="str">
        <f>IFERROR(_xlfn.XLOOKUP($A251,Input_Raw!$A:$A,Input_Raw!$DA:$DA),"")</f>
        <v/>
      </c>
      <c r="I251" s="178" t="str">
        <f>IFERROR(_xlfn.XLOOKUP($A251,Input_Raw!$A:$A,Input_Raw!$CX:$CX),"")</f>
        <v/>
      </c>
      <c r="J251" s="178" t="str">
        <f>IFERROR(_xlfn.XLOOKUP($A251,Input_Raw!$A:$A,Input_Raw!$CZ:$CZ),"")</f>
        <v/>
      </c>
      <c r="K251" s="190" t="str">
        <f>IFERROR(_xlfn.XLOOKUP($A251,Input_Raw!$A:$A,Input_Raw!$DB:$DB),"")</f>
        <v/>
      </c>
      <c r="L251" s="190" t="str">
        <f>IFERROR(_xlfn.XLOOKUP($A251,Input_Raw!$A:$A,Input_Raw!$DC:$DC),"")</f>
        <v/>
      </c>
      <c r="M251" s="189" t="str">
        <f>IFERROR(_xlfn.XLOOKUP($A251,Input_Raw!$A:$A,Input_Raw!$DF:$DF),"")</f>
        <v/>
      </c>
      <c r="N251" s="189" t="str">
        <f>IFERROR(_xlfn.XLOOKUP($A251,Input_Raw!$A:$A,Input_Raw!$DG:$DG),"")</f>
        <v/>
      </c>
      <c r="O251" s="219" t="str">
        <f>IFERROR(1-(SUMIF(Plant_BD!$B:$B,$A251,Plant_BD!$AL:$AL)/($AA251+SUMIF(Plant_BD!$B:$B,$A251,Plant_BD!$AL:$AL))),"")</f>
        <v/>
      </c>
      <c r="P251" s="219"/>
      <c r="Q251" s="220" t="str">
        <f>IFERROR(1-(SUMIF(Grid_BD!$B:$B,$A251,Grid_BD!$V:$V)/($AA251+SUMIF(Grid_BD!$B:$B,$A251,Grid_BD!$V:$V))),"")</f>
        <v/>
      </c>
      <c r="R251" s="219" t="str">
        <f>IFERROR(1-(SUMIF(Grid_BD!$B:$B,$A251,Grid_BD!$V:$V)/($AA251+SUMIF(Grid_BD!$B:$B,$A251,Grid_BD!$V:$V))),"")</f>
        <v/>
      </c>
      <c r="S251" s="9"/>
      <c r="T251" s="220"/>
      <c r="U251" s="221" t="str">
        <f t="shared" si="21"/>
        <v/>
      </c>
      <c r="V251" s="221" t="str">
        <f>IFERROR(_xlfn.XLOOKUP($A251,Input_Raw!$A:$A,Input_Raw!$FG:$FG),"")</f>
        <v/>
      </c>
      <c r="W251" s="222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78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22">
        <f>IFERROR(_xlfn.XLOOKUP($D251,'Modelling New'!$D:$D,'Modelling New'!O:O),"")</f>
        <v>0.85944279883329133</v>
      </c>
      <c r="AF251" s="222">
        <f>IFERROR(_xlfn.XLOOKUP($D251,'Modelling New'!$D:$D,'Modelling New'!W:W),"")</f>
        <v>0.19083326662266092</v>
      </c>
      <c r="AG251" s="222">
        <f>IFERROR(_xlfn.XLOOKUP($D251,'Modelling New'!$D:$D,'Modelling New'!AE:AE),"")</f>
        <v>0.995</v>
      </c>
      <c r="AH251" s="222">
        <f>IFERROR(_xlfn.XLOOKUP($D251,'Modelling New'!$D:$D,'Modelling New'!AF:AF),"")</f>
        <v>0.995</v>
      </c>
      <c r="AI251" s="9"/>
      <c r="AJ251" s="9"/>
      <c r="AK251" s="245"/>
      <c r="AL251" s="245"/>
      <c r="AM251" s="245"/>
      <c r="AN251" s="219"/>
      <c r="AO251" s="222"/>
      <c r="AP251" s="222"/>
      <c r="AQ251" s="222"/>
      <c r="AR251" s="223">
        <f>_xlfn.XLOOKUP(D251,'Modelling New'!$D:$D,'Modelling New'!$N:$N)</f>
        <v>130</v>
      </c>
      <c r="AS251" s="223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18">
        <f>Table13[[#This Row],[Date]]-DAY(Table13[[#This Row],[Date]])+1</f>
        <v>45992</v>
      </c>
      <c r="E252" s="9">
        <f t="shared" si="20"/>
        <v>31</v>
      </c>
      <c r="F252" s="188" t="str">
        <f>IFERROR(_xlfn.XLOOKUP($A252,Input_Raw!$A:$A,Input_Raw!$FC:$FC),"")</f>
        <v/>
      </c>
      <c r="G252" s="189" t="str">
        <f>IFERROR(_xlfn.XLOOKUP($A252,Input_Raw!$A:$A,Input_Raw!$CY:$CY),"")</f>
        <v/>
      </c>
      <c r="H252" s="189" t="str">
        <f>IFERROR(_xlfn.XLOOKUP($A252,Input_Raw!$A:$A,Input_Raw!$DA:$DA),"")</f>
        <v/>
      </c>
      <c r="I252" s="189" t="str">
        <f>IFERROR(_xlfn.XLOOKUP($A252,Input_Raw!$A:$A,Input_Raw!$CX:$CX),"")</f>
        <v/>
      </c>
      <c r="J252" s="189" t="str">
        <f>IFERROR(_xlfn.XLOOKUP($A252,Input_Raw!$A:$A,Input_Raw!$CZ:$CZ),"")</f>
        <v/>
      </c>
      <c r="K252" s="190" t="str">
        <f>IFERROR(_xlfn.XLOOKUP($A252,Input_Raw!$A:$A,Input_Raw!$DB:$DB),"")</f>
        <v/>
      </c>
      <c r="L252" s="190" t="str">
        <f>IFERROR(_xlfn.XLOOKUP($A252,Input_Raw!$A:$A,Input_Raw!$DC:$DC),"")</f>
        <v/>
      </c>
      <c r="M252" s="189" t="str">
        <f>IFERROR(_xlfn.XLOOKUP($A252,Input_Raw!$A:$A,Input_Raw!$DF:$DF),"")</f>
        <v/>
      </c>
      <c r="N252" s="189" t="str">
        <f>IFERROR(_xlfn.XLOOKUP($A252,Input_Raw!$A:$A,Input_Raw!$DG:$DG),"")</f>
        <v/>
      </c>
      <c r="O252" s="219" t="str">
        <f>IFERROR(1-(SUMIF(Plant_BD!$B:$B,$A252,Plant_BD!$AL:$AL)/($AA252+SUMIF(Plant_BD!$B:$B,$A252,Plant_BD!$AL:$AL))),"")</f>
        <v/>
      </c>
      <c r="P252" s="219"/>
      <c r="Q252" s="220" t="str">
        <f>IFERROR(1-(SUMIF(Grid_BD!$B:$B,$A252,Grid_BD!$V:$V)/($AA252+SUMIF(Grid_BD!$B:$B,$A252,Grid_BD!$V:$V))),"")</f>
        <v/>
      </c>
      <c r="R252" s="219" t="str">
        <f>IFERROR(1-(SUMIF(Grid_BD!$B:$B,$A252,Grid_BD!$V:$V)/($AA252+SUMIF(Grid_BD!$B:$B,$A252,Grid_BD!$V:$V))),"")</f>
        <v/>
      </c>
      <c r="S252" s="9"/>
      <c r="T252" s="220"/>
      <c r="U252" s="221" t="str">
        <f t="shared" si="21"/>
        <v/>
      </c>
      <c r="V252" s="221" t="str">
        <f>IFERROR(_xlfn.XLOOKUP($A252,Input_Raw!$A:$A,Input_Raw!$FG:$FG),"")</f>
        <v/>
      </c>
      <c r="W252" s="222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78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22">
        <f>IFERROR(_xlfn.XLOOKUP($D252,'Modelling New'!$D:$D,'Modelling New'!O:O),"")</f>
        <v>0.85944279883329133</v>
      </c>
      <c r="AF252" s="222">
        <f>IFERROR(_xlfn.XLOOKUP($D252,'Modelling New'!$D:$D,'Modelling New'!W:W),"")</f>
        <v>0.19083326662266092</v>
      </c>
      <c r="AG252" s="222">
        <f>IFERROR(_xlfn.XLOOKUP($D252,'Modelling New'!$D:$D,'Modelling New'!AE:AE),"")</f>
        <v>0.995</v>
      </c>
      <c r="AH252" s="222">
        <f>IFERROR(_xlfn.XLOOKUP($D252,'Modelling New'!$D:$D,'Modelling New'!AF:AF),"")</f>
        <v>0.995</v>
      </c>
      <c r="AI252" s="9"/>
      <c r="AJ252" s="9"/>
      <c r="AK252" s="245"/>
      <c r="AL252" s="245"/>
      <c r="AM252" s="245"/>
      <c r="AN252" s="219"/>
      <c r="AO252" s="222"/>
      <c r="AP252" s="222"/>
      <c r="AQ252" s="222"/>
      <c r="AR252" s="223">
        <f>_xlfn.XLOOKUP(D252,'Modelling New'!$D:$D,'Modelling New'!$N:$N)</f>
        <v>130</v>
      </c>
      <c r="AS252" s="223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18">
        <f>Table13[[#This Row],[Date]]-DAY(Table13[[#This Row],[Date]])+1</f>
        <v>45992</v>
      </c>
      <c r="E253" s="9">
        <f t="shared" si="20"/>
        <v>31</v>
      </c>
      <c r="F253" s="188" t="str">
        <f>IFERROR(_xlfn.XLOOKUP($A253,Input_Raw!$A:$A,Input_Raw!$FC:$FC),"")</f>
        <v/>
      </c>
      <c r="G253" s="178" t="str">
        <f>IFERROR(_xlfn.XLOOKUP($A253,Input_Raw!$A:$A,Input_Raw!$CY:$CY),"")</f>
        <v/>
      </c>
      <c r="H253" s="178" t="str">
        <f>IFERROR(_xlfn.XLOOKUP($A253,Input_Raw!$A:$A,Input_Raw!$DA:$DA),"")</f>
        <v/>
      </c>
      <c r="I253" s="178" t="str">
        <f>IFERROR(_xlfn.XLOOKUP($A253,Input_Raw!$A:$A,Input_Raw!$CX:$CX),"")</f>
        <v/>
      </c>
      <c r="J253" s="178" t="str">
        <f>IFERROR(_xlfn.XLOOKUP($A253,Input_Raw!$A:$A,Input_Raw!$CZ:$CZ),"")</f>
        <v/>
      </c>
      <c r="K253" s="190" t="str">
        <f>IFERROR(_xlfn.XLOOKUP($A253,Input_Raw!$A:$A,Input_Raw!$DB:$DB),"")</f>
        <v/>
      </c>
      <c r="L253" s="190" t="str">
        <f>IFERROR(_xlfn.XLOOKUP($A253,Input_Raw!$A:$A,Input_Raw!$DC:$DC),"")</f>
        <v/>
      </c>
      <c r="M253" s="189" t="str">
        <f>IFERROR(_xlfn.XLOOKUP($A253,Input_Raw!$A:$A,Input_Raw!$DF:$DF),"")</f>
        <v/>
      </c>
      <c r="N253" s="189" t="str">
        <f>IFERROR(_xlfn.XLOOKUP($A253,Input_Raw!$A:$A,Input_Raw!$DG:$DG),"")</f>
        <v/>
      </c>
      <c r="O253" s="219" t="str">
        <f>IFERROR(1-(SUMIF(Plant_BD!$B:$B,$A253,Plant_BD!$AL:$AL)/($AA253+SUMIF(Plant_BD!$B:$B,$A253,Plant_BD!$AL:$AL))),"")</f>
        <v/>
      </c>
      <c r="P253" s="219"/>
      <c r="Q253" s="220" t="str">
        <f>IFERROR(1-(SUMIF(Grid_BD!$B:$B,$A253,Grid_BD!$V:$V)/($AA253+SUMIF(Grid_BD!$B:$B,$A253,Grid_BD!$V:$V))),"")</f>
        <v/>
      </c>
      <c r="R253" s="219" t="str">
        <f>IFERROR(1-(SUMIF(Grid_BD!$B:$B,$A253,Grid_BD!$V:$V)/($AA253+SUMIF(Grid_BD!$B:$B,$A253,Grid_BD!$V:$V))),"")</f>
        <v/>
      </c>
      <c r="S253" s="9"/>
      <c r="T253" s="220"/>
      <c r="U253" s="221" t="str">
        <f t="shared" si="21"/>
        <v/>
      </c>
      <c r="V253" s="221" t="str">
        <f>IFERROR(_xlfn.XLOOKUP($A253,Input_Raw!$A:$A,Input_Raw!$FG:$FG),"")</f>
        <v/>
      </c>
      <c r="W253" s="222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78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22">
        <f>IFERROR(_xlfn.XLOOKUP($D253,'Modelling New'!$D:$D,'Modelling New'!O:O),"")</f>
        <v>0.85944279883329133</v>
      </c>
      <c r="AF253" s="222">
        <f>IFERROR(_xlfn.XLOOKUP($D253,'Modelling New'!$D:$D,'Modelling New'!W:W),"")</f>
        <v>0.19083326662266092</v>
      </c>
      <c r="AG253" s="222">
        <f>IFERROR(_xlfn.XLOOKUP($D253,'Modelling New'!$D:$D,'Modelling New'!AE:AE),"")</f>
        <v>0.995</v>
      </c>
      <c r="AH253" s="222">
        <f>IFERROR(_xlfn.XLOOKUP($D253,'Modelling New'!$D:$D,'Modelling New'!AF:AF),"")</f>
        <v>0.995</v>
      </c>
      <c r="AI253" s="9"/>
      <c r="AJ253" s="9"/>
      <c r="AK253" s="245"/>
      <c r="AL253" s="245"/>
      <c r="AM253" s="245"/>
      <c r="AN253" s="219"/>
      <c r="AO253" s="222"/>
      <c r="AP253" s="222"/>
      <c r="AQ253" s="222"/>
      <c r="AR253" s="223">
        <f>_xlfn.XLOOKUP(D253,'Modelling New'!$D:$D,'Modelling New'!$N:$N)</f>
        <v>130</v>
      </c>
      <c r="AS253" s="223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18">
        <f>Table13[[#This Row],[Date]]-DAY(Table13[[#This Row],[Date]])+1</f>
        <v>45992</v>
      </c>
      <c r="E254" s="9">
        <f t="shared" si="20"/>
        <v>31</v>
      </c>
      <c r="F254" s="188" t="str">
        <f>IFERROR(_xlfn.XLOOKUP($A254,Input_Raw!$A:$A,Input_Raw!$FC:$FC),"")</f>
        <v/>
      </c>
      <c r="G254" s="189" t="str">
        <f>IFERROR(_xlfn.XLOOKUP($A254,Input_Raw!$A:$A,Input_Raw!$CY:$CY),"")</f>
        <v/>
      </c>
      <c r="H254" s="189" t="str">
        <f>IFERROR(_xlfn.XLOOKUP($A254,Input_Raw!$A:$A,Input_Raw!$DA:$DA),"")</f>
        <v/>
      </c>
      <c r="I254" s="189" t="str">
        <f>IFERROR(_xlfn.XLOOKUP($A254,Input_Raw!$A:$A,Input_Raw!$CX:$CX),"")</f>
        <v/>
      </c>
      <c r="J254" s="189" t="str">
        <f>IFERROR(_xlfn.XLOOKUP($A254,Input_Raw!$A:$A,Input_Raw!$CZ:$CZ),"")</f>
        <v/>
      </c>
      <c r="K254" s="190" t="str">
        <f>IFERROR(_xlfn.XLOOKUP($A254,Input_Raw!$A:$A,Input_Raw!$DB:$DB),"")</f>
        <v/>
      </c>
      <c r="L254" s="190" t="str">
        <f>IFERROR(_xlfn.XLOOKUP($A254,Input_Raw!$A:$A,Input_Raw!$DC:$DC),"")</f>
        <v/>
      </c>
      <c r="M254" s="189" t="str">
        <f>IFERROR(_xlfn.XLOOKUP($A254,Input_Raw!$A:$A,Input_Raw!$DF:$DF),"")</f>
        <v/>
      </c>
      <c r="N254" s="189" t="str">
        <f>IFERROR(_xlfn.XLOOKUP($A254,Input_Raw!$A:$A,Input_Raw!$DG:$DG),"")</f>
        <v/>
      </c>
      <c r="O254" s="219" t="str">
        <f>IFERROR(1-(SUMIF(Plant_BD!$B:$B,$A254,Plant_BD!$AL:$AL)/($AA254+SUMIF(Plant_BD!$B:$B,$A254,Plant_BD!$AL:$AL))),"")</f>
        <v/>
      </c>
      <c r="P254" s="219"/>
      <c r="Q254" s="220" t="str">
        <f>IFERROR(1-(SUMIF(Grid_BD!$B:$B,$A254,Grid_BD!$V:$V)/($AA254+SUMIF(Grid_BD!$B:$B,$A254,Grid_BD!$V:$V))),"")</f>
        <v/>
      </c>
      <c r="R254" s="219" t="str">
        <f>IFERROR(1-(SUMIF(Grid_BD!$B:$B,$A254,Grid_BD!$V:$V)/($AA254+SUMIF(Grid_BD!$B:$B,$A254,Grid_BD!$V:$V))),"")</f>
        <v/>
      </c>
      <c r="S254" s="9"/>
      <c r="T254" s="220"/>
      <c r="U254" s="221" t="str">
        <f t="shared" si="21"/>
        <v/>
      </c>
      <c r="V254" s="221" t="str">
        <f>IFERROR(_xlfn.XLOOKUP($A254,Input_Raw!$A:$A,Input_Raw!$FG:$FG),"")</f>
        <v/>
      </c>
      <c r="W254" s="222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78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22">
        <f>IFERROR(_xlfn.XLOOKUP($D254,'Modelling New'!$D:$D,'Modelling New'!O:O),"")</f>
        <v>0.85944279883329133</v>
      </c>
      <c r="AF254" s="222">
        <f>IFERROR(_xlfn.XLOOKUP($D254,'Modelling New'!$D:$D,'Modelling New'!W:W),"")</f>
        <v>0.19083326662266092</v>
      </c>
      <c r="AG254" s="222">
        <f>IFERROR(_xlfn.XLOOKUP($D254,'Modelling New'!$D:$D,'Modelling New'!AE:AE),"")</f>
        <v>0.995</v>
      </c>
      <c r="AH254" s="222">
        <f>IFERROR(_xlfn.XLOOKUP($D254,'Modelling New'!$D:$D,'Modelling New'!AF:AF),"")</f>
        <v>0.995</v>
      </c>
      <c r="AI254" s="9"/>
      <c r="AJ254" s="9"/>
      <c r="AK254" s="245"/>
      <c r="AL254" s="245"/>
      <c r="AM254" s="245"/>
      <c r="AN254" s="219"/>
      <c r="AO254" s="222"/>
      <c r="AP254" s="222"/>
      <c r="AQ254" s="222"/>
      <c r="AR254" s="223">
        <f>_xlfn.XLOOKUP(D254,'Modelling New'!$D:$D,'Modelling New'!$N:$N)</f>
        <v>130</v>
      </c>
      <c r="AS254" s="223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18">
        <f>Table13[[#This Row],[Date]]-DAY(Table13[[#This Row],[Date]])+1</f>
        <v>45992</v>
      </c>
      <c r="E255" s="9">
        <f t="shared" si="20"/>
        <v>31</v>
      </c>
      <c r="F255" s="188" t="str">
        <f>IFERROR(_xlfn.XLOOKUP($A255,Input_Raw!$A:$A,Input_Raw!$FC:$FC),"")</f>
        <v/>
      </c>
      <c r="G255" s="178" t="str">
        <f>IFERROR(_xlfn.XLOOKUP($A255,Input_Raw!$A:$A,Input_Raw!$CY:$CY),"")</f>
        <v/>
      </c>
      <c r="H255" s="178" t="str">
        <f>IFERROR(_xlfn.XLOOKUP($A255,Input_Raw!$A:$A,Input_Raw!$DA:$DA),"")</f>
        <v/>
      </c>
      <c r="I255" s="178" t="str">
        <f>IFERROR(_xlfn.XLOOKUP($A255,Input_Raw!$A:$A,Input_Raw!$CX:$CX),"")</f>
        <v/>
      </c>
      <c r="J255" s="178" t="str">
        <f>IFERROR(_xlfn.XLOOKUP($A255,Input_Raw!$A:$A,Input_Raw!$CZ:$CZ),"")</f>
        <v/>
      </c>
      <c r="K255" s="190" t="str">
        <f>IFERROR(_xlfn.XLOOKUP($A255,Input_Raw!$A:$A,Input_Raw!$DB:$DB),"")</f>
        <v/>
      </c>
      <c r="L255" s="190" t="str">
        <f>IFERROR(_xlfn.XLOOKUP($A255,Input_Raw!$A:$A,Input_Raw!$DC:$DC),"")</f>
        <v/>
      </c>
      <c r="M255" s="189" t="str">
        <f>IFERROR(_xlfn.XLOOKUP($A255,Input_Raw!$A:$A,Input_Raw!$DF:$DF),"")</f>
        <v/>
      </c>
      <c r="N255" s="189" t="str">
        <f>IFERROR(_xlfn.XLOOKUP($A255,Input_Raw!$A:$A,Input_Raw!$DG:$DG),"")</f>
        <v/>
      </c>
      <c r="O255" s="219" t="str">
        <f>IFERROR(1-(SUMIF(Plant_BD!$B:$B,$A255,Plant_BD!$AL:$AL)/($AA255+SUMIF(Plant_BD!$B:$B,$A255,Plant_BD!$AL:$AL))),"")</f>
        <v/>
      </c>
      <c r="P255" s="219"/>
      <c r="Q255" s="220" t="str">
        <f>IFERROR(1-(SUMIF(Grid_BD!$B:$B,$A255,Grid_BD!$V:$V)/($AA255+SUMIF(Grid_BD!$B:$B,$A255,Grid_BD!$V:$V))),"")</f>
        <v/>
      </c>
      <c r="R255" s="219" t="str">
        <f>IFERROR(1-(SUMIF(Grid_BD!$B:$B,$A255,Grid_BD!$V:$V)/($AA255+SUMIF(Grid_BD!$B:$B,$A255,Grid_BD!$V:$V))),"")</f>
        <v/>
      </c>
      <c r="S255" s="9"/>
      <c r="T255" s="220"/>
      <c r="U255" s="221" t="str">
        <f t="shared" si="21"/>
        <v/>
      </c>
      <c r="V255" s="221" t="str">
        <f>IFERROR(_xlfn.XLOOKUP($A255,Input_Raw!$A:$A,Input_Raw!$FG:$FG),"")</f>
        <v/>
      </c>
      <c r="W255" s="222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78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22">
        <f>IFERROR(_xlfn.XLOOKUP($D255,'Modelling New'!$D:$D,'Modelling New'!O:O),"")</f>
        <v>0.85944279883329133</v>
      </c>
      <c r="AF255" s="222">
        <f>IFERROR(_xlfn.XLOOKUP($D255,'Modelling New'!$D:$D,'Modelling New'!W:W),"")</f>
        <v>0.19083326662266092</v>
      </c>
      <c r="AG255" s="222">
        <f>IFERROR(_xlfn.XLOOKUP($D255,'Modelling New'!$D:$D,'Modelling New'!AE:AE),"")</f>
        <v>0.995</v>
      </c>
      <c r="AH255" s="222">
        <f>IFERROR(_xlfn.XLOOKUP($D255,'Modelling New'!$D:$D,'Modelling New'!AF:AF),"")</f>
        <v>0.995</v>
      </c>
      <c r="AI255" s="9"/>
      <c r="AJ255" s="9"/>
      <c r="AK255" s="245"/>
      <c r="AL255" s="245"/>
      <c r="AM255" s="245"/>
      <c r="AN255" s="219"/>
      <c r="AO255" s="222"/>
      <c r="AP255" s="222"/>
      <c r="AQ255" s="222"/>
      <c r="AR255" s="223">
        <f>_xlfn.XLOOKUP(D255,'Modelling New'!$D:$D,'Modelling New'!$N:$N)</f>
        <v>130</v>
      </c>
      <c r="AS255" s="223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18">
        <f>Table13[[#This Row],[Date]]-DAY(Table13[[#This Row],[Date]])+1</f>
        <v>45992</v>
      </c>
      <c r="E256" s="9">
        <f t="shared" si="20"/>
        <v>31</v>
      </c>
      <c r="F256" s="188" t="str">
        <f>IFERROR(_xlfn.XLOOKUP($A256,Input_Raw!$A:$A,Input_Raw!$FC:$FC),"")</f>
        <v/>
      </c>
      <c r="G256" s="189" t="str">
        <f>IFERROR(_xlfn.XLOOKUP($A256,Input_Raw!$A:$A,Input_Raw!$CY:$CY),"")</f>
        <v/>
      </c>
      <c r="H256" s="189" t="str">
        <f>IFERROR(_xlfn.XLOOKUP($A256,Input_Raw!$A:$A,Input_Raw!$DA:$DA),"")</f>
        <v/>
      </c>
      <c r="I256" s="189" t="str">
        <f>IFERROR(_xlfn.XLOOKUP($A256,Input_Raw!$A:$A,Input_Raw!$CX:$CX),"")</f>
        <v/>
      </c>
      <c r="J256" s="189" t="str">
        <f>IFERROR(_xlfn.XLOOKUP($A256,Input_Raw!$A:$A,Input_Raw!$CZ:$CZ),"")</f>
        <v/>
      </c>
      <c r="K256" s="190" t="str">
        <f>IFERROR(_xlfn.XLOOKUP($A256,Input_Raw!$A:$A,Input_Raw!$DB:$DB),"")</f>
        <v/>
      </c>
      <c r="L256" s="190" t="str">
        <f>IFERROR(_xlfn.XLOOKUP($A256,Input_Raw!$A:$A,Input_Raw!$DC:$DC),"")</f>
        <v/>
      </c>
      <c r="M256" s="189" t="str">
        <f>IFERROR(_xlfn.XLOOKUP($A256,Input_Raw!$A:$A,Input_Raw!$DF:$DF),"")</f>
        <v/>
      </c>
      <c r="N256" s="189" t="str">
        <f>IFERROR(_xlfn.XLOOKUP($A256,Input_Raw!$A:$A,Input_Raw!$DG:$DG),"")</f>
        <v/>
      </c>
      <c r="O256" s="219" t="str">
        <f>IFERROR(1-(SUMIF(Plant_BD!$B:$B,$A256,Plant_BD!$AL:$AL)/($AA256+SUMIF(Plant_BD!$B:$B,$A256,Plant_BD!$AL:$AL))),"")</f>
        <v/>
      </c>
      <c r="P256" s="219"/>
      <c r="Q256" s="220" t="str">
        <f>IFERROR(1-(SUMIF(Grid_BD!$B:$B,$A256,Grid_BD!$V:$V)/($AA256+SUMIF(Grid_BD!$B:$B,$A256,Grid_BD!$V:$V))),"")</f>
        <v/>
      </c>
      <c r="R256" s="219" t="str">
        <f>IFERROR(1-(SUMIF(Grid_BD!$B:$B,$A256,Grid_BD!$V:$V)/($AA256+SUMIF(Grid_BD!$B:$B,$A256,Grid_BD!$V:$V))),"")</f>
        <v/>
      </c>
      <c r="S256" s="9"/>
      <c r="T256" s="220"/>
      <c r="U256" s="221" t="str">
        <f t="shared" si="21"/>
        <v/>
      </c>
      <c r="V256" s="221" t="str">
        <f>IFERROR(_xlfn.XLOOKUP($A256,Input_Raw!$A:$A,Input_Raw!$FG:$FG),"")</f>
        <v/>
      </c>
      <c r="W256" s="222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78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22">
        <f>IFERROR(_xlfn.XLOOKUP($D256,'Modelling New'!$D:$D,'Modelling New'!O:O),"")</f>
        <v>0.85944279883329133</v>
      </c>
      <c r="AF256" s="222">
        <f>IFERROR(_xlfn.XLOOKUP($D256,'Modelling New'!$D:$D,'Modelling New'!W:W),"")</f>
        <v>0.19083326662266092</v>
      </c>
      <c r="AG256" s="222">
        <f>IFERROR(_xlfn.XLOOKUP($D256,'Modelling New'!$D:$D,'Modelling New'!AE:AE),"")</f>
        <v>0.995</v>
      </c>
      <c r="AH256" s="222">
        <f>IFERROR(_xlfn.XLOOKUP($D256,'Modelling New'!$D:$D,'Modelling New'!AF:AF),"")</f>
        <v>0.995</v>
      </c>
      <c r="AI256" s="9"/>
      <c r="AJ256" s="9"/>
      <c r="AK256" s="245"/>
      <c r="AL256" s="245"/>
      <c r="AM256" s="245"/>
      <c r="AN256" s="219"/>
      <c r="AO256" s="222"/>
      <c r="AP256" s="222"/>
      <c r="AQ256" s="222"/>
      <c r="AR256" s="223">
        <f>_xlfn.XLOOKUP(D256,'Modelling New'!$D:$D,'Modelling New'!$N:$N)</f>
        <v>130</v>
      </c>
      <c r="AS256" s="223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18">
        <f>Table13[[#This Row],[Date]]-DAY(Table13[[#This Row],[Date]])+1</f>
        <v>45992</v>
      </c>
      <c r="E257" s="9">
        <f t="shared" si="20"/>
        <v>31</v>
      </c>
      <c r="F257" s="188" t="str">
        <f>IFERROR(_xlfn.XLOOKUP($A257,Input_Raw!$A:$A,Input_Raw!$FC:$FC),"")</f>
        <v/>
      </c>
      <c r="G257" s="178" t="str">
        <f>IFERROR(_xlfn.XLOOKUP($A257,Input_Raw!$A:$A,Input_Raw!$CY:$CY),"")</f>
        <v/>
      </c>
      <c r="H257" s="178" t="str">
        <f>IFERROR(_xlfn.XLOOKUP($A257,Input_Raw!$A:$A,Input_Raw!$DA:$DA),"")</f>
        <v/>
      </c>
      <c r="I257" s="178" t="str">
        <f>IFERROR(_xlfn.XLOOKUP($A257,Input_Raw!$A:$A,Input_Raw!$CX:$CX),"")</f>
        <v/>
      </c>
      <c r="J257" s="178" t="str">
        <f>IFERROR(_xlfn.XLOOKUP($A257,Input_Raw!$A:$A,Input_Raw!$CZ:$CZ),"")</f>
        <v/>
      </c>
      <c r="K257" s="190" t="str">
        <f>IFERROR(_xlfn.XLOOKUP($A257,Input_Raw!$A:$A,Input_Raw!$DB:$DB),"")</f>
        <v/>
      </c>
      <c r="L257" s="190" t="str">
        <f>IFERROR(_xlfn.XLOOKUP($A257,Input_Raw!$A:$A,Input_Raw!$DC:$DC),"")</f>
        <v/>
      </c>
      <c r="M257" s="189" t="str">
        <f>IFERROR(_xlfn.XLOOKUP($A257,Input_Raw!$A:$A,Input_Raw!$DF:$DF),"")</f>
        <v/>
      </c>
      <c r="N257" s="189" t="str">
        <f>IFERROR(_xlfn.XLOOKUP($A257,Input_Raw!$A:$A,Input_Raw!$DG:$DG),"")</f>
        <v/>
      </c>
      <c r="O257" s="219" t="str">
        <f>IFERROR(1-(SUMIF(Plant_BD!$B:$B,$A257,Plant_BD!$AL:$AL)/($AA257+SUMIF(Plant_BD!$B:$B,$A257,Plant_BD!$AL:$AL))),"")</f>
        <v/>
      </c>
      <c r="P257" s="219"/>
      <c r="Q257" s="220" t="str">
        <f>IFERROR(1-(SUMIF(Grid_BD!$B:$B,$A257,Grid_BD!$V:$V)/($AA257+SUMIF(Grid_BD!$B:$B,$A257,Grid_BD!$V:$V))),"")</f>
        <v/>
      </c>
      <c r="R257" s="219" t="str">
        <f>IFERROR(1-(SUMIF(Grid_BD!$B:$B,$A257,Grid_BD!$V:$V)/($AA257+SUMIF(Grid_BD!$B:$B,$A257,Grid_BD!$V:$V))),"")</f>
        <v/>
      </c>
      <c r="S257" s="9"/>
      <c r="T257" s="220"/>
      <c r="U257" s="221" t="str">
        <f t="shared" si="21"/>
        <v/>
      </c>
      <c r="V257" s="221" t="str">
        <f>IFERROR(_xlfn.XLOOKUP($A257,Input_Raw!$A:$A,Input_Raw!$FG:$FG),"")</f>
        <v/>
      </c>
      <c r="W257" s="222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78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22">
        <f>IFERROR(_xlfn.XLOOKUP($D257,'Modelling New'!$D:$D,'Modelling New'!O:O),"")</f>
        <v>0.85944279883329133</v>
      </c>
      <c r="AF257" s="222">
        <f>IFERROR(_xlfn.XLOOKUP($D257,'Modelling New'!$D:$D,'Modelling New'!W:W),"")</f>
        <v>0.19083326662266092</v>
      </c>
      <c r="AG257" s="222">
        <f>IFERROR(_xlfn.XLOOKUP($D257,'Modelling New'!$D:$D,'Modelling New'!AE:AE),"")</f>
        <v>0.995</v>
      </c>
      <c r="AH257" s="222">
        <f>IFERROR(_xlfn.XLOOKUP($D257,'Modelling New'!$D:$D,'Modelling New'!AF:AF),"")</f>
        <v>0.995</v>
      </c>
      <c r="AI257" s="9"/>
      <c r="AJ257" s="9"/>
      <c r="AK257" s="245"/>
      <c r="AL257" s="245"/>
      <c r="AM257" s="245"/>
      <c r="AN257" s="219"/>
      <c r="AO257" s="222"/>
      <c r="AP257" s="222"/>
      <c r="AQ257" s="222"/>
      <c r="AR257" s="223">
        <f>_xlfn.XLOOKUP(D257,'Modelling New'!$D:$D,'Modelling New'!$N:$N)</f>
        <v>130</v>
      </c>
      <c r="AS257" s="223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18">
        <f>Table13[[#This Row],[Date]]-DAY(Table13[[#This Row],[Date]])+1</f>
        <v>45992</v>
      </c>
      <c r="E258" s="9">
        <f t="shared" si="20"/>
        <v>31</v>
      </c>
      <c r="F258" s="188" t="str">
        <f>IFERROR(_xlfn.XLOOKUP($A258,Input_Raw!$A:$A,Input_Raw!$FC:$FC),"")</f>
        <v/>
      </c>
      <c r="G258" s="189" t="str">
        <f>IFERROR(_xlfn.XLOOKUP($A258,Input_Raw!$A:$A,Input_Raw!$CY:$CY),"")</f>
        <v/>
      </c>
      <c r="H258" s="189" t="str">
        <f>IFERROR(_xlfn.XLOOKUP($A258,Input_Raw!$A:$A,Input_Raw!$DA:$DA),"")</f>
        <v/>
      </c>
      <c r="I258" s="189" t="str">
        <f>IFERROR(_xlfn.XLOOKUP($A258,Input_Raw!$A:$A,Input_Raw!$CX:$CX),"")</f>
        <v/>
      </c>
      <c r="J258" s="189" t="str">
        <f>IFERROR(_xlfn.XLOOKUP($A258,Input_Raw!$A:$A,Input_Raw!$CZ:$CZ),"")</f>
        <v/>
      </c>
      <c r="K258" s="190" t="str">
        <f>IFERROR(_xlfn.XLOOKUP($A258,Input_Raw!$A:$A,Input_Raw!$DB:$DB),"")</f>
        <v/>
      </c>
      <c r="L258" s="190" t="str">
        <f>IFERROR(_xlfn.XLOOKUP($A258,Input_Raw!$A:$A,Input_Raw!$DC:$DC),"")</f>
        <v/>
      </c>
      <c r="M258" s="189" t="str">
        <f>IFERROR(_xlfn.XLOOKUP($A258,Input_Raw!$A:$A,Input_Raw!$DF:$DF),"")</f>
        <v/>
      </c>
      <c r="N258" s="189" t="str">
        <f>IFERROR(_xlfn.XLOOKUP($A258,Input_Raw!$A:$A,Input_Raw!$DG:$DG),"")</f>
        <v/>
      </c>
      <c r="O258" s="219" t="str">
        <f>IFERROR(1-(SUMIF(Plant_BD!$B:$B,$A258,Plant_BD!$AL:$AL)/($AA258+SUMIF(Plant_BD!$B:$B,$A258,Plant_BD!$AL:$AL))),"")</f>
        <v/>
      </c>
      <c r="P258" s="219"/>
      <c r="Q258" s="220" t="str">
        <f>IFERROR(1-(SUMIF(Grid_BD!$B:$B,$A258,Grid_BD!$V:$V)/($AA258+SUMIF(Grid_BD!$B:$B,$A258,Grid_BD!$V:$V))),"")</f>
        <v/>
      </c>
      <c r="R258" s="219" t="str">
        <f>IFERROR(1-(SUMIF(Grid_BD!$B:$B,$A258,Grid_BD!$V:$V)/($AA258+SUMIF(Grid_BD!$B:$B,$A258,Grid_BD!$V:$V))),"")</f>
        <v/>
      </c>
      <c r="S258" s="9"/>
      <c r="T258" s="220"/>
      <c r="U258" s="221" t="str">
        <f t="shared" si="21"/>
        <v/>
      </c>
      <c r="V258" s="221" t="str">
        <f>IFERROR(_xlfn.XLOOKUP($A258,Input_Raw!$A:$A,Input_Raw!$FG:$FG),"")</f>
        <v/>
      </c>
      <c r="W258" s="222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78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22">
        <f>IFERROR(_xlfn.XLOOKUP($D258,'Modelling New'!$D:$D,'Modelling New'!O:O),"")</f>
        <v>0.85944279883329133</v>
      </c>
      <c r="AF258" s="222">
        <f>IFERROR(_xlfn.XLOOKUP($D258,'Modelling New'!$D:$D,'Modelling New'!W:W),"")</f>
        <v>0.19083326662266092</v>
      </c>
      <c r="AG258" s="222">
        <f>IFERROR(_xlfn.XLOOKUP($D258,'Modelling New'!$D:$D,'Modelling New'!AE:AE),"")</f>
        <v>0.995</v>
      </c>
      <c r="AH258" s="222">
        <f>IFERROR(_xlfn.XLOOKUP($D258,'Modelling New'!$D:$D,'Modelling New'!AF:AF),"")</f>
        <v>0.995</v>
      </c>
      <c r="AI258" s="9"/>
      <c r="AJ258" s="9"/>
      <c r="AK258" s="245"/>
      <c r="AL258" s="245"/>
      <c r="AM258" s="245"/>
      <c r="AN258" s="219"/>
      <c r="AO258" s="222"/>
      <c r="AP258" s="222"/>
      <c r="AQ258" s="222"/>
      <c r="AR258" s="223">
        <f>_xlfn.XLOOKUP(D258,'Modelling New'!$D:$D,'Modelling New'!$N:$N)</f>
        <v>130</v>
      </c>
      <c r="AS258" s="223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18">
        <f>Table13[[#This Row],[Date]]-DAY(Table13[[#This Row],[Date]])+1</f>
        <v>45992</v>
      </c>
      <c r="E259" s="9">
        <f t="shared" si="20"/>
        <v>31</v>
      </c>
      <c r="F259" s="188" t="str">
        <f>IFERROR(_xlfn.XLOOKUP($A259,Input_Raw!$A:$A,Input_Raw!$FC:$FC),"")</f>
        <v/>
      </c>
      <c r="G259" s="178" t="str">
        <f>IFERROR(_xlfn.XLOOKUP($A259,Input_Raw!$A:$A,Input_Raw!$CY:$CY),"")</f>
        <v/>
      </c>
      <c r="H259" s="178" t="str">
        <f>IFERROR(_xlfn.XLOOKUP($A259,Input_Raw!$A:$A,Input_Raw!$DA:$DA),"")</f>
        <v/>
      </c>
      <c r="I259" s="178" t="str">
        <f>IFERROR(_xlfn.XLOOKUP($A259,Input_Raw!$A:$A,Input_Raw!$CX:$CX),"")</f>
        <v/>
      </c>
      <c r="J259" s="178" t="str">
        <f>IFERROR(_xlfn.XLOOKUP($A259,Input_Raw!$A:$A,Input_Raw!$CZ:$CZ),"")</f>
        <v/>
      </c>
      <c r="K259" s="190" t="str">
        <f>IFERROR(_xlfn.XLOOKUP($A259,Input_Raw!$A:$A,Input_Raw!$DB:$DB),"")</f>
        <v/>
      </c>
      <c r="L259" s="190" t="str">
        <f>IFERROR(_xlfn.XLOOKUP($A259,Input_Raw!$A:$A,Input_Raw!$DC:$DC),"")</f>
        <v/>
      </c>
      <c r="M259" s="189" t="str">
        <f>IFERROR(_xlfn.XLOOKUP($A259,Input_Raw!$A:$A,Input_Raw!$DF:$DF),"")</f>
        <v/>
      </c>
      <c r="N259" s="189" t="str">
        <f>IFERROR(_xlfn.XLOOKUP($A259,Input_Raw!$A:$A,Input_Raw!$DG:$DG),"")</f>
        <v/>
      </c>
      <c r="O259" s="219" t="str">
        <f>IFERROR(1-(SUMIF(Plant_BD!$B:$B,$A259,Plant_BD!$AL:$AL)/($AA259+SUMIF(Plant_BD!$B:$B,$A259,Plant_BD!$AL:$AL))),"")</f>
        <v/>
      </c>
      <c r="P259" s="219"/>
      <c r="Q259" s="220" t="str">
        <f>IFERROR(1-(SUMIF(Grid_BD!$B:$B,$A259,Grid_BD!$V:$V)/($AA259+SUMIF(Grid_BD!$B:$B,$A259,Grid_BD!$V:$V))),"")</f>
        <v/>
      </c>
      <c r="R259" s="219" t="str">
        <f>IFERROR(1-(SUMIF(Grid_BD!$B:$B,$A259,Grid_BD!$V:$V)/($AA259+SUMIF(Grid_BD!$B:$B,$A259,Grid_BD!$V:$V))),"")</f>
        <v/>
      </c>
      <c r="S259" s="9"/>
      <c r="T259" s="220"/>
      <c r="U259" s="221" t="str">
        <f t="shared" si="21"/>
        <v/>
      </c>
      <c r="V259" s="221" t="str">
        <f>IFERROR(_xlfn.XLOOKUP($A259,Input_Raw!$A:$A,Input_Raw!$FG:$FG),"")</f>
        <v/>
      </c>
      <c r="W259" s="222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78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22">
        <f>IFERROR(_xlfn.XLOOKUP($D259,'Modelling New'!$D:$D,'Modelling New'!O:O),"")</f>
        <v>0.85944279883329133</v>
      </c>
      <c r="AF259" s="222">
        <f>IFERROR(_xlfn.XLOOKUP($D259,'Modelling New'!$D:$D,'Modelling New'!W:W),"")</f>
        <v>0.19083326662266092</v>
      </c>
      <c r="AG259" s="222">
        <f>IFERROR(_xlfn.XLOOKUP($D259,'Modelling New'!$D:$D,'Modelling New'!AE:AE),"")</f>
        <v>0.995</v>
      </c>
      <c r="AH259" s="222">
        <f>IFERROR(_xlfn.XLOOKUP($D259,'Modelling New'!$D:$D,'Modelling New'!AF:AF),"")</f>
        <v>0.995</v>
      </c>
      <c r="AI259" s="9"/>
      <c r="AJ259" s="9"/>
      <c r="AK259" s="245"/>
      <c r="AL259" s="245"/>
      <c r="AM259" s="245"/>
      <c r="AN259" s="219"/>
      <c r="AO259" s="222"/>
      <c r="AP259" s="222"/>
      <c r="AQ259" s="222"/>
      <c r="AR259" s="223">
        <f>_xlfn.XLOOKUP(D259,'Modelling New'!$D:$D,'Modelling New'!$N:$N)</f>
        <v>130</v>
      </c>
      <c r="AS259" s="223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18">
        <f>Table13[[#This Row],[Date]]-DAY(Table13[[#This Row],[Date]])+1</f>
        <v>45992</v>
      </c>
      <c r="E260" s="9">
        <f t="shared" si="20"/>
        <v>31</v>
      </c>
      <c r="F260" s="188" t="str">
        <f>IFERROR(_xlfn.XLOOKUP($A260,Input_Raw!$A:$A,Input_Raw!$FC:$FC),"")</f>
        <v/>
      </c>
      <c r="G260" s="189" t="str">
        <f>IFERROR(_xlfn.XLOOKUP($A260,Input_Raw!$A:$A,Input_Raw!$CY:$CY),"")</f>
        <v/>
      </c>
      <c r="H260" s="189" t="str">
        <f>IFERROR(_xlfn.XLOOKUP($A260,Input_Raw!$A:$A,Input_Raw!$DA:$DA),"")</f>
        <v/>
      </c>
      <c r="I260" s="189" t="str">
        <f>IFERROR(_xlfn.XLOOKUP($A260,Input_Raw!$A:$A,Input_Raw!$CX:$CX),"")</f>
        <v/>
      </c>
      <c r="J260" s="189" t="str">
        <f>IFERROR(_xlfn.XLOOKUP($A260,Input_Raw!$A:$A,Input_Raw!$CZ:$CZ),"")</f>
        <v/>
      </c>
      <c r="K260" s="190" t="str">
        <f>IFERROR(_xlfn.XLOOKUP($A260,Input_Raw!$A:$A,Input_Raw!$DB:$DB),"")</f>
        <v/>
      </c>
      <c r="L260" s="190" t="str">
        <f>IFERROR(_xlfn.XLOOKUP($A260,Input_Raw!$A:$A,Input_Raw!$DC:$DC),"")</f>
        <v/>
      </c>
      <c r="M260" s="189" t="str">
        <f>IFERROR(_xlfn.XLOOKUP($A260,Input_Raw!$A:$A,Input_Raw!$DF:$DF),"")</f>
        <v/>
      </c>
      <c r="N260" s="189" t="str">
        <f>IFERROR(_xlfn.XLOOKUP($A260,Input_Raw!$A:$A,Input_Raw!$DG:$DG),"")</f>
        <v/>
      </c>
      <c r="O260" s="219" t="str">
        <f>IFERROR(1-(SUMIF(Plant_BD!$B:$B,$A260,Plant_BD!$AL:$AL)/($AA260+SUMIF(Plant_BD!$B:$B,$A260,Plant_BD!$AL:$AL))),"")</f>
        <v/>
      </c>
      <c r="P260" s="219"/>
      <c r="Q260" s="220" t="str">
        <f>IFERROR(1-(SUMIF(Grid_BD!$B:$B,$A260,Grid_BD!$V:$V)/($AA260+SUMIF(Grid_BD!$B:$B,$A260,Grid_BD!$V:$V))),"")</f>
        <v/>
      </c>
      <c r="R260" s="219" t="str">
        <f>IFERROR(1-(SUMIF(Grid_BD!$B:$B,$A260,Grid_BD!$V:$V)/($AA260+SUMIF(Grid_BD!$B:$B,$A260,Grid_BD!$V:$V))),"")</f>
        <v/>
      </c>
      <c r="S260" s="9"/>
      <c r="T260" s="220"/>
      <c r="U260" s="221" t="str">
        <f t="shared" si="21"/>
        <v/>
      </c>
      <c r="V260" s="221" t="str">
        <f>IFERROR(_xlfn.XLOOKUP($A260,Input_Raw!$A:$A,Input_Raw!$FG:$FG),"")</f>
        <v/>
      </c>
      <c r="W260" s="222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78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22">
        <f>IFERROR(_xlfn.XLOOKUP($D260,'Modelling New'!$D:$D,'Modelling New'!O:O),"")</f>
        <v>0.85944279883329133</v>
      </c>
      <c r="AF260" s="222">
        <f>IFERROR(_xlfn.XLOOKUP($D260,'Modelling New'!$D:$D,'Modelling New'!W:W),"")</f>
        <v>0.19083326662266092</v>
      </c>
      <c r="AG260" s="222">
        <f>IFERROR(_xlfn.XLOOKUP($D260,'Modelling New'!$D:$D,'Modelling New'!AE:AE),"")</f>
        <v>0.995</v>
      </c>
      <c r="AH260" s="222">
        <f>IFERROR(_xlfn.XLOOKUP($D260,'Modelling New'!$D:$D,'Modelling New'!AF:AF),"")</f>
        <v>0.995</v>
      </c>
      <c r="AI260" s="9"/>
      <c r="AJ260" s="9"/>
      <c r="AK260" s="245"/>
      <c r="AL260" s="245"/>
      <c r="AM260" s="245"/>
      <c r="AN260" s="219"/>
      <c r="AO260" s="222"/>
      <c r="AP260" s="222"/>
      <c r="AQ260" s="222"/>
      <c r="AR260" s="223">
        <f>_xlfn.XLOOKUP(D260,'Modelling New'!$D:$D,'Modelling New'!$N:$N)</f>
        <v>130</v>
      </c>
      <c r="AS260" s="223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18">
        <f>Table13[[#This Row],[Date]]-DAY(Table13[[#This Row],[Date]])+1</f>
        <v>45992</v>
      </c>
      <c r="E261" s="9">
        <f t="shared" si="20"/>
        <v>31</v>
      </c>
      <c r="F261" s="188" t="str">
        <f>IFERROR(_xlfn.XLOOKUP($A261,Input_Raw!$A:$A,Input_Raw!$FC:$FC),"")</f>
        <v/>
      </c>
      <c r="G261" s="178" t="str">
        <f>IFERROR(_xlfn.XLOOKUP($A261,Input_Raw!$A:$A,Input_Raw!$CY:$CY),"")</f>
        <v/>
      </c>
      <c r="H261" s="178" t="str">
        <f>IFERROR(_xlfn.XLOOKUP($A261,Input_Raw!$A:$A,Input_Raw!$DA:$DA),"")</f>
        <v/>
      </c>
      <c r="I261" s="178" t="str">
        <f>IFERROR(_xlfn.XLOOKUP($A261,Input_Raw!$A:$A,Input_Raw!$CX:$CX),"")</f>
        <v/>
      </c>
      <c r="J261" s="178" t="str">
        <f>IFERROR(_xlfn.XLOOKUP($A261,Input_Raw!$A:$A,Input_Raw!$CZ:$CZ),"")</f>
        <v/>
      </c>
      <c r="K261" s="190" t="str">
        <f>IFERROR(_xlfn.XLOOKUP($A261,Input_Raw!$A:$A,Input_Raw!$DB:$DB),"")</f>
        <v/>
      </c>
      <c r="L261" s="190" t="str">
        <f>IFERROR(_xlfn.XLOOKUP($A261,Input_Raw!$A:$A,Input_Raw!$DC:$DC),"")</f>
        <v/>
      </c>
      <c r="M261" s="189" t="str">
        <f>IFERROR(_xlfn.XLOOKUP($A261,Input_Raw!$A:$A,Input_Raw!$DF:$DF),"")</f>
        <v/>
      </c>
      <c r="N261" s="189" t="str">
        <f>IFERROR(_xlfn.XLOOKUP($A261,Input_Raw!$A:$A,Input_Raw!$DG:$DG),"")</f>
        <v/>
      </c>
      <c r="O261" s="219" t="str">
        <f>IFERROR(1-(SUMIF(Plant_BD!$B:$B,$A261,Plant_BD!$AL:$AL)/($AA261+SUMIF(Plant_BD!$B:$B,$A261,Plant_BD!$AL:$AL))),"")</f>
        <v/>
      </c>
      <c r="P261" s="219"/>
      <c r="Q261" s="220" t="str">
        <f>IFERROR(1-(SUMIF(Grid_BD!$B:$B,$A261,Grid_BD!$V:$V)/($AA261+SUMIF(Grid_BD!$B:$B,$A261,Grid_BD!$V:$V))),"")</f>
        <v/>
      </c>
      <c r="R261" s="219" t="str">
        <f>IFERROR(1-(SUMIF(Grid_BD!$B:$B,$A261,Grid_BD!$V:$V)/($AA261+SUMIF(Grid_BD!$B:$B,$A261,Grid_BD!$V:$V))),"")</f>
        <v/>
      </c>
      <c r="S261" s="9"/>
      <c r="T261" s="220"/>
      <c r="U261" s="221" t="str">
        <f t="shared" si="21"/>
        <v/>
      </c>
      <c r="V261" s="221" t="str">
        <f>IFERROR(_xlfn.XLOOKUP($A261,Input_Raw!$A:$A,Input_Raw!$FG:$FG),"")</f>
        <v/>
      </c>
      <c r="W261" s="222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78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22">
        <f>IFERROR(_xlfn.XLOOKUP($D261,'Modelling New'!$D:$D,'Modelling New'!O:O),"")</f>
        <v>0.85944279883329133</v>
      </c>
      <c r="AF261" s="222">
        <f>IFERROR(_xlfn.XLOOKUP($D261,'Modelling New'!$D:$D,'Modelling New'!W:W),"")</f>
        <v>0.19083326662266092</v>
      </c>
      <c r="AG261" s="222">
        <f>IFERROR(_xlfn.XLOOKUP($D261,'Modelling New'!$D:$D,'Modelling New'!AE:AE),"")</f>
        <v>0.995</v>
      </c>
      <c r="AH261" s="222">
        <f>IFERROR(_xlfn.XLOOKUP($D261,'Modelling New'!$D:$D,'Modelling New'!AF:AF),"")</f>
        <v>0.995</v>
      </c>
      <c r="AI261" s="9"/>
      <c r="AJ261" s="9"/>
      <c r="AK261" s="245"/>
      <c r="AL261" s="245"/>
      <c r="AM261" s="245"/>
      <c r="AN261" s="219"/>
      <c r="AO261" s="222"/>
      <c r="AP261" s="222"/>
      <c r="AQ261" s="222"/>
      <c r="AR261" s="223">
        <f>_xlfn.XLOOKUP(D261,'Modelling New'!$D:$D,'Modelling New'!$N:$N)</f>
        <v>130</v>
      </c>
      <c r="AS261" s="223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18">
        <f>Table13[[#This Row],[Date]]-DAY(Table13[[#This Row],[Date]])+1</f>
        <v>45992</v>
      </c>
      <c r="E262" s="9">
        <f t="shared" si="20"/>
        <v>31</v>
      </c>
      <c r="F262" s="188" t="str">
        <f>IFERROR(_xlfn.XLOOKUP($A262,Input_Raw!$A:$A,Input_Raw!$FC:$FC),"")</f>
        <v/>
      </c>
      <c r="G262" s="189" t="str">
        <f>IFERROR(_xlfn.XLOOKUP($A262,Input_Raw!$A:$A,Input_Raw!$CY:$CY),"")</f>
        <v/>
      </c>
      <c r="H262" s="189" t="str">
        <f>IFERROR(_xlfn.XLOOKUP($A262,Input_Raw!$A:$A,Input_Raw!$DA:$DA),"")</f>
        <v/>
      </c>
      <c r="I262" s="189" t="str">
        <f>IFERROR(_xlfn.XLOOKUP($A262,Input_Raw!$A:$A,Input_Raw!$CX:$CX),"")</f>
        <v/>
      </c>
      <c r="J262" s="189" t="str">
        <f>IFERROR(_xlfn.XLOOKUP($A262,Input_Raw!$A:$A,Input_Raw!$CZ:$CZ),"")</f>
        <v/>
      </c>
      <c r="K262" s="190" t="str">
        <f>IFERROR(_xlfn.XLOOKUP($A262,Input_Raw!$A:$A,Input_Raw!$DB:$DB),"")</f>
        <v/>
      </c>
      <c r="L262" s="190" t="str">
        <f>IFERROR(_xlfn.XLOOKUP($A262,Input_Raw!$A:$A,Input_Raw!$DC:$DC),"")</f>
        <v/>
      </c>
      <c r="M262" s="189" t="str">
        <f>IFERROR(_xlfn.XLOOKUP($A262,Input_Raw!$A:$A,Input_Raw!$DF:$DF),"")</f>
        <v/>
      </c>
      <c r="N262" s="189" t="str">
        <f>IFERROR(_xlfn.XLOOKUP($A262,Input_Raw!$A:$A,Input_Raw!$DG:$DG),"")</f>
        <v/>
      </c>
      <c r="O262" s="219" t="str">
        <f>IFERROR(1-(SUMIF(Plant_BD!$B:$B,$A262,Plant_BD!$AL:$AL)/($AA262+SUMIF(Plant_BD!$B:$B,$A262,Plant_BD!$AL:$AL))),"")</f>
        <v/>
      </c>
      <c r="P262" s="219"/>
      <c r="Q262" s="220" t="str">
        <f>IFERROR(1-(SUMIF(Grid_BD!$B:$B,$A262,Grid_BD!$V:$V)/($AA262+SUMIF(Grid_BD!$B:$B,$A262,Grid_BD!$V:$V))),"")</f>
        <v/>
      </c>
      <c r="R262" s="219" t="str">
        <f>IFERROR(1-(SUMIF(Grid_BD!$B:$B,$A262,Grid_BD!$V:$V)/($AA262+SUMIF(Grid_BD!$B:$B,$A262,Grid_BD!$V:$V))),"")</f>
        <v/>
      </c>
      <c r="S262" s="9"/>
      <c r="T262" s="220"/>
      <c r="U262" s="221" t="str">
        <f t="shared" si="21"/>
        <v/>
      </c>
      <c r="V262" s="221" t="str">
        <f>IFERROR(_xlfn.XLOOKUP($A262,Input_Raw!$A:$A,Input_Raw!$FG:$FG),"")</f>
        <v/>
      </c>
      <c r="W262" s="222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78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22">
        <f>IFERROR(_xlfn.XLOOKUP($D262,'Modelling New'!$D:$D,'Modelling New'!O:O),"")</f>
        <v>0.85944279883329133</v>
      </c>
      <c r="AF262" s="222">
        <f>IFERROR(_xlfn.XLOOKUP($D262,'Modelling New'!$D:$D,'Modelling New'!W:W),"")</f>
        <v>0.19083326662266092</v>
      </c>
      <c r="AG262" s="222">
        <f>IFERROR(_xlfn.XLOOKUP($D262,'Modelling New'!$D:$D,'Modelling New'!AE:AE),"")</f>
        <v>0.995</v>
      </c>
      <c r="AH262" s="222">
        <f>IFERROR(_xlfn.XLOOKUP($D262,'Modelling New'!$D:$D,'Modelling New'!AF:AF),"")</f>
        <v>0.995</v>
      </c>
      <c r="AI262" s="9"/>
      <c r="AJ262" s="9"/>
      <c r="AK262" s="245"/>
      <c r="AL262" s="245"/>
      <c r="AM262" s="245"/>
      <c r="AN262" s="219"/>
      <c r="AO262" s="222"/>
      <c r="AP262" s="222"/>
      <c r="AQ262" s="222"/>
      <c r="AR262" s="223">
        <f>_xlfn.XLOOKUP(D262,'Modelling New'!$D:$D,'Modelling New'!$N:$N)</f>
        <v>130</v>
      </c>
      <c r="AS262" s="223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18">
        <f>Table13[[#This Row],[Date]]-DAY(Table13[[#This Row],[Date]])+1</f>
        <v>45992</v>
      </c>
      <c r="E263" s="9">
        <f t="shared" si="20"/>
        <v>31</v>
      </c>
      <c r="F263" s="188" t="str">
        <f>IFERROR(_xlfn.XLOOKUP($A263,Input_Raw!$A:$A,Input_Raw!$FC:$FC),"")</f>
        <v/>
      </c>
      <c r="G263" s="178" t="str">
        <f>IFERROR(_xlfn.XLOOKUP($A263,Input_Raw!$A:$A,Input_Raw!$CY:$CY),"")</f>
        <v/>
      </c>
      <c r="H263" s="178" t="str">
        <f>IFERROR(_xlfn.XLOOKUP($A263,Input_Raw!$A:$A,Input_Raw!$DA:$DA),"")</f>
        <v/>
      </c>
      <c r="I263" s="178" t="str">
        <f>IFERROR(_xlfn.XLOOKUP($A263,Input_Raw!$A:$A,Input_Raw!$CX:$CX),"")</f>
        <v/>
      </c>
      <c r="J263" s="178" t="str">
        <f>IFERROR(_xlfn.XLOOKUP($A263,Input_Raw!$A:$A,Input_Raw!$CZ:$CZ),"")</f>
        <v/>
      </c>
      <c r="K263" s="190" t="str">
        <f>IFERROR(_xlfn.XLOOKUP($A263,Input_Raw!$A:$A,Input_Raw!$DB:$DB),"")</f>
        <v/>
      </c>
      <c r="L263" s="190" t="str">
        <f>IFERROR(_xlfn.XLOOKUP($A263,Input_Raw!$A:$A,Input_Raw!$DC:$DC),"")</f>
        <v/>
      </c>
      <c r="M263" s="189" t="str">
        <f>IFERROR(_xlfn.XLOOKUP($A263,Input_Raw!$A:$A,Input_Raw!$DF:$DF),"")</f>
        <v/>
      </c>
      <c r="N263" s="189" t="str">
        <f>IFERROR(_xlfn.XLOOKUP($A263,Input_Raw!$A:$A,Input_Raw!$DG:$DG),"")</f>
        <v/>
      </c>
      <c r="O263" s="219" t="str">
        <f>IFERROR(1-(SUMIF(Plant_BD!$B:$B,$A263,Plant_BD!$AL:$AL)/($AA263+SUMIF(Plant_BD!$B:$B,$A263,Plant_BD!$AL:$AL))),"")</f>
        <v/>
      </c>
      <c r="P263" s="219"/>
      <c r="Q263" s="220" t="str">
        <f>IFERROR(1-(SUMIF(Grid_BD!$B:$B,$A263,Grid_BD!$V:$V)/($AA263+SUMIF(Grid_BD!$B:$B,$A263,Grid_BD!$V:$V))),"")</f>
        <v/>
      </c>
      <c r="R263" s="219" t="str">
        <f>IFERROR(1-(SUMIF(Grid_BD!$B:$B,$A263,Grid_BD!$V:$V)/($AA263+SUMIF(Grid_BD!$B:$B,$A263,Grid_BD!$V:$V))),"")</f>
        <v/>
      </c>
      <c r="S263" s="9"/>
      <c r="T263" s="220"/>
      <c r="U263" s="221" t="str">
        <f t="shared" si="21"/>
        <v/>
      </c>
      <c r="V263" s="221" t="str">
        <f>IFERROR(_xlfn.XLOOKUP($A263,Input_Raw!$A:$A,Input_Raw!$FG:$FG),"")</f>
        <v/>
      </c>
      <c r="W263" s="222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78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22">
        <f>IFERROR(_xlfn.XLOOKUP($D263,'Modelling New'!$D:$D,'Modelling New'!O:O),"")</f>
        <v>0.85944279883329133</v>
      </c>
      <c r="AF263" s="222">
        <f>IFERROR(_xlfn.XLOOKUP($D263,'Modelling New'!$D:$D,'Modelling New'!W:W),"")</f>
        <v>0.19083326662266092</v>
      </c>
      <c r="AG263" s="222">
        <f>IFERROR(_xlfn.XLOOKUP($D263,'Modelling New'!$D:$D,'Modelling New'!AE:AE),"")</f>
        <v>0.995</v>
      </c>
      <c r="AH263" s="222">
        <f>IFERROR(_xlfn.XLOOKUP($D263,'Modelling New'!$D:$D,'Modelling New'!AF:AF),"")</f>
        <v>0.995</v>
      </c>
      <c r="AI263" s="9"/>
      <c r="AJ263" s="9"/>
      <c r="AK263" s="245"/>
      <c r="AL263" s="245"/>
      <c r="AM263" s="245"/>
      <c r="AN263" s="219"/>
      <c r="AO263" s="222"/>
      <c r="AP263" s="222"/>
      <c r="AQ263" s="222"/>
      <c r="AR263" s="223">
        <f>_xlfn.XLOOKUP(D263,'Modelling New'!$D:$D,'Modelling New'!$N:$N)</f>
        <v>130</v>
      </c>
      <c r="AS263" s="223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18">
        <f>Table13[[#This Row],[Date]]-DAY(Table13[[#This Row],[Date]])+1</f>
        <v>45992</v>
      </c>
      <c r="E264" s="9">
        <f t="shared" si="20"/>
        <v>31</v>
      </c>
      <c r="F264" s="188" t="str">
        <f>IFERROR(_xlfn.XLOOKUP($A264,Input_Raw!$A:$A,Input_Raw!$FC:$FC),"")</f>
        <v/>
      </c>
      <c r="G264" s="189" t="str">
        <f>IFERROR(_xlfn.XLOOKUP($A264,Input_Raw!$A:$A,Input_Raw!$CY:$CY),"")</f>
        <v/>
      </c>
      <c r="H264" s="189" t="str">
        <f>IFERROR(_xlfn.XLOOKUP($A264,Input_Raw!$A:$A,Input_Raw!$DA:$DA),"")</f>
        <v/>
      </c>
      <c r="I264" s="189" t="str">
        <f>IFERROR(_xlfn.XLOOKUP($A264,Input_Raw!$A:$A,Input_Raw!$CX:$CX),"")</f>
        <v/>
      </c>
      <c r="J264" s="189" t="str">
        <f>IFERROR(_xlfn.XLOOKUP($A264,Input_Raw!$A:$A,Input_Raw!$CZ:$CZ),"")</f>
        <v/>
      </c>
      <c r="K264" s="190" t="str">
        <f>IFERROR(_xlfn.XLOOKUP($A264,Input_Raw!$A:$A,Input_Raw!$DB:$DB),"")</f>
        <v/>
      </c>
      <c r="L264" s="190" t="str">
        <f>IFERROR(_xlfn.XLOOKUP($A264,Input_Raw!$A:$A,Input_Raw!$DC:$DC),"")</f>
        <v/>
      </c>
      <c r="M264" s="189" t="str">
        <f>IFERROR(_xlfn.XLOOKUP($A264,Input_Raw!$A:$A,Input_Raw!$DF:$DF),"")</f>
        <v/>
      </c>
      <c r="N264" s="189" t="str">
        <f>IFERROR(_xlfn.XLOOKUP($A264,Input_Raw!$A:$A,Input_Raw!$DG:$DG),"")</f>
        <v/>
      </c>
      <c r="O264" s="219" t="str">
        <f>IFERROR(1-(SUMIF(Plant_BD!$B:$B,$A264,Plant_BD!$AL:$AL)/($AA264+SUMIF(Plant_BD!$B:$B,$A264,Plant_BD!$AL:$AL))),"")</f>
        <v/>
      </c>
      <c r="P264" s="219"/>
      <c r="Q264" s="220" t="str">
        <f>IFERROR(1-(SUMIF(Grid_BD!$B:$B,$A264,Grid_BD!$V:$V)/($AA264+SUMIF(Grid_BD!$B:$B,$A264,Grid_BD!$V:$V))),"")</f>
        <v/>
      </c>
      <c r="R264" s="219" t="str">
        <f>IFERROR(1-(SUMIF(Grid_BD!$B:$B,$A264,Grid_BD!$V:$V)/($AA264+SUMIF(Grid_BD!$B:$B,$A264,Grid_BD!$V:$V))),"")</f>
        <v/>
      </c>
      <c r="S264" s="9"/>
      <c r="T264" s="220"/>
      <c r="U264" s="221" t="str">
        <f t="shared" si="21"/>
        <v/>
      </c>
      <c r="V264" s="221" t="str">
        <f>IFERROR(_xlfn.XLOOKUP($A264,Input_Raw!$A:$A,Input_Raw!$FG:$FG),"")</f>
        <v/>
      </c>
      <c r="W264" s="222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78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22">
        <f>IFERROR(_xlfn.XLOOKUP($D264,'Modelling New'!$D:$D,'Modelling New'!O:O),"")</f>
        <v>0.85944279883329133</v>
      </c>
      <c r="AF264" s="222">
        <f>IFERROR(_xlfn.XLOOKUP($D264,'Modelling New'!$D:$D,'Modelling New'!W:W),"")</f>
        <v>0.19083326662266092</v>
      </c>
      <c r="AG264" s="222">
        <f>IFERROR(_xlfn.XLOOKUP($D264,'Modelling New'!$D:$D,'Modelling New'!AE:AE),"")</f>
        <v>0.995</v>
      </c>
      <c r="AH264" s="222">
        <f>IFERROR(_xlfn.XLOOKUP($D264,'Modelling New'!$D:$D,'Modelling New'!AF:AF),"")</f>
        <v>0.995</v>
      </c>
      <c r="AI264" s="9"/>
      <c r="AJ264" s="9"/>
      <c r="AK264" s="245"/>
      <c r="AL264" s="245"/>
      <c r="AM264" s="245"/>
      <c r="AN264" s="219"/>
      <c r="AO264" s="222"/>
      <c r="AP264" s="222"/>
      <c r="AQ264" s="222"/>
      <c r="AR264" s="223">
        <f>_xlfn.XLOOKUP(D264,'Modelling New'!$D:$D,'Modelling New'!$N:$N)</f>
        <v>130</v>
      </c>
      <c r="AS264" s="223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18">
        <f>Table13[[#This Row],[Date]]-DAY(Table13[[#This Row],[Date]])+1</f>
        <v>45992</v>
      </c>
      <c r="E265" s="9">
        <f t="shared" si="20"/>
        <v>31</v>
      </c>
      <c r="F265" s="188" t="str">
        <f>IFERROR(_xlfn.XLOOKUP($A265,Input_Raw!$A:$A,Input_Raw!$FC:$FC),"")</f>
        <v/>
      </c>
      <c r="G265" s="178" t="str">
        <f>IFERROR(_xlfn.XLOOKUP($A265,Input_Raw!$A:$A,Input_Raw!$CY:$CY),"")</f>
        <v/>
      </c>
      <c r="H265" s="178" t="str">
        <f>IFERROR(_xlfn.XLOOKUP($A265,Input_Raw!$A:$A,Input_Raw!$DA:$DA),"")</f>
        <v/>
      </c>
      <c r="I265" s="178" t="str">
        <f>IFERROR(_xlfn.XLOOKUP($A265,Input_Raw!$A:$A,Input_Raw!$CX:$CX),"")</f>
        <v/>
      </c>
      <c r="J265" s="178" t="str">
        <f>IFERROR(_xlfn.XLOOKUP($A265,Input_Raw!$A:$A,Input_Raw!$CZ:$CZ),"")</f>
        <v/>
      </c>
      <c r="K265" s="190" t="str">
        <f>IFERROR(_xlfn.XLOOKUP($A265,Input_Raw!$A:$A,Input_Raw!$DB:$DB),"")</f>
        <v/>
      </c>
      <c r="L265" s="190" t="str">
        <f>IFERROR(_xlfn.XLOOKUP($A265,Input_Raw!$A:$A,Input_Raw!$DC:$DC),"")</f>
        <v/>
      </c>
      <c r="M265" s="189" t="str">
        <f>IFERROR(_xlfn.XLOOKUP($A265,Input_Raw!$A:$A,Input_Raw!$DF:$DF),"")</f>
        <v/>
      </c>
      <c r="N265" s="189" t="str">
        <f>IFERROR(_xlfn.XLOOKUP($A265,Input_Raw!$A:$A,Input_Raw!$DG:$DG),"")</f>
        <v/>
      </c>
      <c r="O265" s="219" t="str">
        <f>IFERROR(1-(SUMIF(Plant_BD!$B:$B,$A265,Plant_BD!$AL:$AL)/($AA265+SUMIF(Plant_BD!$B:$B,$A265,Plant_BD!$AL:$AL))),"")</f>
        <v/>
      </c>
      <c r="P265" s="219"/>
      <c r="Q265" s="220" t="str">
        <f>IFERROR(1-(SUMIF(Grid_BD!$B:$B,$A265,Grid_BD!$V:$V)/($AA265+SUMIF(Grid_BD!$B:$B,$A265,Grid_BD!$V:$V))),"")</f>
        <v/>
      </c>
      <c r="R265" s="219" t="str">
        <f>IFERROR(1-(SUMIF(Grid_BD!$B:$B,$A265,Grid_BD!$V:$V)/($AA265+SUMIF(Grid_BD!$B:$B,$A265,Grid_BD!$V:$V))),"")</f>
        <v/>
      </c>
      <c r="S265" s="9"/>
      <c r="T265" s="220"/>
      <c r="U265" s="221" t="str">
        <f t="shared" si="21"/>
        <v/>
      </c>
      <c r="V265" s="221" t="str">
        <f>IFERROR(_xlfn.XLOOKUP($A265,Input_Raw!$A:$A,Input_Raw!$FG:$FG),"")</f>
        <v/>
      </c>
      <c r="W265" s="222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78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22">
        <f>IFERROR(_xlfn.XLOOKUP($D265,'Modelling New'!$D:$D,'Modelling New'!O:O),"")</f>
        <v>0.85944279883329133</v>
      </c>
      <c r="AF265" s="222">
        <f>IFERROR(_xlfn.XLOOKUP($D265,'Modelling New'!$D:$D,'Modelling New'!W:W),"")</f>
        <v>0.19083326662266092</v>
      </c>
      <c r="AG265" s="222">
        <f>IFERROR(_xlfn.XLOOKUP($D265,'Modelling New'!$D:$D,'Modelling New'!AE:AE),"")</f>
        <v>0.995</v>
      </c>
      <c r="AH265" s="222">
        <f>IFERROR(_xlfn.XLOOKUP($D265,'Modelling New'!$D:$D,'Modelling New'!AF:AF),"")</f>
        <v>0.995</v>
      </c>
      <c r="AI265" s="9"/>
      <c r="AJ265" s="9"/>
      <c r="AK265" s="245"/>
      <c r="AL265" s="245"/>
      <c r="AM265" s="245"/>
      <c r="AN265" s="219"/>
      <c r="AO265" s="222"/>
      <c r="AP265" s="222"/>
      <c r="AQ265" s="222"/>
      <c r="AR265" s="223">
        <f>_xlfn.XLOOKUP(D265,'Modelling New'!$D:$D,'Modelling New'!$N:$N)</f>
        <v>130</v>
      </c>
      <c r="AS265" s="223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18">
        <f>Table13[[#This Row],[Date]]-DAY(Table13[[#This Row],[Date]])+1</f>
        <v>45992</v>
      </c>
      <c r="E266" s="9">
        <f t="shared" si="20"/>
        <v>31</v>
      </c>
      <c r="F266" s="188" t="str">
        <f>IFERROR(_xlfn.XLOOKUP($A266,Input_Raw!$A:$A,Input_Raw!$FC:$FC),"")</f>
        <v/>
      </c>
      <c r="G266" s="189" t="str">
        <f>IFERROR(_xlfn.XLOOKUP($A266,Input_Raw!$A:$A,Input_Raw!$CY:$CY),"")</f>
        <v/>
      </c>
      <c r="H266" s="189" t="str">
        <f>IFERROR(_xlfn.XLOOKUP($A266,Input_Raw!$A:$A,Input_Raw!$DA:$DA),"")</f>
        <v/>
      </c>
      <c r="I266" s="189" t="str">
        <f>IFERROR(_xlfn.XLOOKUP($A266,Input_Raw!$A:$A,Input_Raw!$CX:$CX),"")</f>
        <v/>
      </c>
      <c r="J266" s="189" t="str">
        <f>IFERROR(_xlfn.XLOOKUP($A266,Input_Raw!$A:$A,Input_Raw!$CZ:$CZ),"")</f>
        <v/>
      </c>
      <c r="K266" s="190" t="str">
        <f>IFERROR(_xlfn.XLOOKUP($A266,Input_Raw!$A:$A,Input_Raw!$DB:$DB),"")</f>
        <v/>
      </c>
      <c r="L266" s="190" t="str">
        <f>IFERROR(_xlfn.XLOOKUP($A266,Input_Raw!$A:$A,Input_Raw!$DC:$DC),"")</f>
        <v/>
      </c>
      <c r="M266" s="189" t="str">
        <f>IFERROR(_xlfn.XLOOKUP($A266,Input_Raw!$A:$A,Input_Raw!$DF:$DF),"")</f>
        <v/>
      </c>
      <c r="N266" s="189" t="str">
        <f>IFERROR(_xlfn.XLOOKUP($A266,Input_Raw!$A:$A,Input_Raw!$DG:$DG),"")</f>
        <v/>
      </c>
      <c r="O266" s="219" t="str">
        <f>IFERROR(1-(SUMIF(Plant_BD!$B:$B,$A266,Plant_BD!$AL:$AL)/($AA266+SUMIF(Plant_BD!$B:$B,$A266,Plant_BD!$AL:$AL))),"")</f>
        <v/>
      </c>
      <c r="P266" s="219"/>
      <c r="Q266" s="220" t="str">
        <f>IFERROR(1-(SUMIF(Grid_BD!$B:$B,$A266,Grid_BD!$V:$V)/($AA266+SUMIF(Grid_BD!$B:$B,$A266,Grid_BD!$V:$V))),"")</f>
        <v/>
      </c>
      <c r="R266" s="219" t="str">
        <f>IFERROR(1-(SUMIF(Grid_BD!$B:$B,$A266,Grid_BD!$V:$V)/($AA266+SUMIF(Grid_BD!$B:$B,$A266,Grid_BD!$V:$V))),"")</f>
        <v/>
      </c>
      <c r="S266" s="9"/>
      <c r="T266" s="220"/>
      <c r="U266" s="221" t="str">
        <f t="shared" si="21"/>
        <v/>
      </c>
      <c r="V266" s="221" t="str">
        <f>IFERROR(_xlfn.XLOOKUP($A266,Input_Raw!$A:$A,Input_Raw!$FG:$FG),"")</f>
        <v/>
      </c>
      <c r="W266" s="222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78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22">
        <f>IFERROR(_xlfn.XLOOKUP($D266,'Modelling New'!$D:$D,'Modelling New'!O:O),"")</f>
        <v>0.85944279883329133</v>
      </c>
      <c r="AF266" s="222">
        <f>IFERROR(_xlfn.XLOOKUP($D266,'Modelling New'!$D:$D,'Modelling New'!W:W),"")</f>
        <v>0.19083326662266092</v>
      </c>
      <c r="AG266" s="222">
        <f>IFERROR(_xlfn.XLOOKUP($D266,'Modelling New'!$D:$D,'Modelling New'!AE:AE),"")</f>
        <v>0.995</v>
      </c>
      <c r="AH266" s="222">
        <f>IFERROR(_xlfn.XLOOKUP($D266,'Modelling New'!$D:$D,'Modelling New'!AF:AF),"")</f>
        <v>0.995</v>
      </c>
      <c r="AI266" s="9"/>
      <c r="AJ266" s="9"/>
      <c r="AK266" s="245"/>
      <c r="AL266" s="245"/>
      <c r="AM266" s="245"/>
      <c r="AN266" s="219"/>
      <c r="AO266" s="222"/>
      <c r="AP266" s="222"/>
      <c r="AQ266" s="222"/>
      <c r="AR266" s="223">
        <f>_xlfn.XLOOKUP(D266,'Modelling New'!$D:$D,'Modelling New'!$N:$N)</f>
        <v>130</v>
      </c>
      <c r="AS266" s="223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18">
        <f>Table13[[#This Row],[Date]]-DAY(Table13[[#This Row],[Date]])+1</f>
        <v>45992</v>
      </c>
      <c r="E267" s="9">
        <f t="shared" si="20"/>
        <v>31</v>
      </c>
      <c r="F267" s="188" t="str">
        <f>IFERROR(_xlfn.XLOOKUP($A267,Input_Raw!$A:$A,Input_Raw!$FC:$FC),"")</f>
        <v/>
      </c>
      <c r="G267" s="178" t="str">
        <f>IFERROR(_xlfn.XLOOKUP($A267,Input_Raw!$A:$A,Input_Raw!$CY:$CY),"")</f>
        <v/>
      </c>
      <c r="H267" s="178" t="str">
        <f>IFERROR(_xlfn.XLOOKUP($A267,Input_Raw!$A:$A,Input_Raw!$DA:$DA),"")</f>
        <v/>
      </c>
      <c r="I267" s="178" t="str">
        <f>IFERROR(_xlfn.XLOOKUP($A267,Input_Raw!$A:$A,Input_Raw!$CX:$CX),"")</f>
        <v/>
      </c>
      <c r="J267" s="178" t="str">
        <f>IFERROR(_xlfn.XLOOKUP($A267,Input_Raw!$A:$A,Input_Raw!$CZ:$CZ),"")</f>
        <v/>
      </c>
      <c r="K267" s="190" t="str">
        <f>IFERROR(_xlfn.XLOOKUP($A267,Input_Raw!$A:$A,Input_Raw!$DB:$DB),"")</f>
        <v/>
      </c>
      <c r="L267" s="190" t="str">
        <f>IFERROR(_xlfn.XLOOKUP($A267,Input_Raw!$A:$A,Input_Raw!$DC:$DC),"")</f>
        <v/>
      </c>
      <c r="M267" s="189" t="str">
        <f>IFERROR(_xlfn.XLOOKUP($A267,Input_Raw!$A:$A,Input_Raw!$DF:$DF),"")</f>
        <v/>
      </c>
      <c r="N267" s="189" t="str">
        <f>IFERROR(_xlfn.XLOOKUP($A267,Input_Raw!$A:$A,Input_Raw!$DG:$DG),"")</f>
        <v/>
      </c>
      <c r="O267" s="219" t="str">
        <f>IFERROR(1-(SUMIF(Plant_BD!$B:$B,$A267,Plant_BD!$AL:$AL)/($AA267+SUMIF(Plant_BD!$B:$B,$A267,Plant_BD!$AL:$AL))),"")</f>
        <v/>
      </c>
      <c r="P267" s="219"/>
      <c r="Q267" s="220" t="str">
        <f>IFERROR(1-(SUMIF(Grid_BD!$B:$B,$A267,Grid_BD!$V:$V)/($AA267+SUMIF(Grid_BD!$B:$B,$A267,Grid_BD!$V:$V))),"")</f>
        <v/>
      </c>
      <c r="R267" s="219" t="str">
        <f>IFERROR(1-(SUMIF(Grid_BD!$B:$B,$A267,Grid_BD!$V:$V)/($AA267+SUMIF(Grid_BD!$B:$B,$A267,Grid_BD!$V:$V))),"")</f>
        <v/>
      </c>
      <c r="S267" s="9"/>
      <c r="T267" s="220"/>
      <c r="U267" s="221" t="str">
        <f t="shared" si="21"/>
        <v/>
      </c>
      <c r="V267" s="221" t="str">
        <f>IFERROR(_xlfn.XLOOKUP($A267,Input_Raw!$A:$A,Input_Raw!$FG:$FG),"")</f>
        <v/>
      </c>
      <c r="W267" s="222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78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22">
        <f>IFERROR(_xlfn.XLOOKUP($D267,'Modelling New'!$D:$D,'Modelling New'!O:O),"")</f>
        <v>0.85944279883329133</v>
      </c>
      <c r="AF267" s="222">
        <f>IFERROR(_xlfn.XLOOKUP($D267,'Modelling New'!$D:$D,'Modelling New'!W:W),"")</f>
        <v>0.19083326662266092</v>
      </c>
      <c r="AG267" s="222">
        <f>IFERROR(_xlfn.XLOOKUP($D267,'Modelling New'!$D:$D,'Modelling New'!AE:AE),"")</f>
        <v>0.995</v>
      </c>
      <c r="AH267" s="222">
        <f>IFERROR(_xlfn.XLOOKUP($D267,'Modelling New'!$D:$D,'Modelling New'!AF:AF),"")</f>
        <v>0.995</v>
      </c>
      <c r="AI267" s="9"/>
      <c r="AJ267" s="9"/>
      <c r="AK267" s="245"/>
      <c r="AL267" s="245"/>
      <c r="AM267" s="245"/>
      <c r="AN267" s="219"/>
      <c r="AO267" s="222"/>
      <c r="AP267" s="222"/>
      <c r="AQ267" s="222"/>
      <c r="AR267" s="223">
        <f>_xlfn.XLOOKUP(D267,'Modelling New'!$D:$D,'Modelling New'!$N:$N)</f>
        <v>130</v>
      </c>
      <c r="AS267" s="223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18">
        <f>Table13[[#This Row],[Date]]-DAY(Table13[[#This Row],[Date]])+1</f>
        <v>45992</v>
      </c>
      <c r="E268" s="9">
        <f t="shared" si="20"/>
        <v>31</v>
      </c>
      <c r="F268" s="188" t="str">
        <f>IFERROR(_xlfn.XLOOKUP($A268,Input_Raw!$A:$A,Input_Raw!$FC:$FC),"")</f>
        <v/>
      </c>
      <c r="G268" s="189" t="str">
        <f>IFERROR(_xlfn.XLOOKUP($A268,Input_Raw!$A:$A,Input_Raw!$CY:$CY),"")</f>
        <v/>
      </c>
      <c r="H268" s="189" t="str">
        <f>IFERROR(_xlfn.XLOOKUP($A268,Input_Raw!$A:$A,Input_Raw!$DA:$DA),"")</f>
        <v/>
      </c>
      <c r="I268" s="189" t="str">
        <f>IFERROR(_xlfn.XLOOKUP($A268,Input_Raw!$A:$A,Input_Raw!$CX:$CX),"")</f>
        <v/>
      </c>
      <c r="J268" s="189" t="str">
        <f>IFERROR(_xlfn.XLOOKUP($A268,Input_Raw!$A:$A,Input_Raw!$CZ:$CZ),"")</f>
        <v/>
      </c>
      <c r="K268" s="190" t="str">
        <f>IFERROR(_xlfn.XLOOKUP($A268,Input_Raw!$A:$A,Input_Raw!$DB:$DB),"")</f>
        <v/>
      </c>
      <c r="L268" s="190" t="str">
        <f>IFERROR(_xlfn.XLOOKUP($A268,Input_Raw!$A:$A,Input_Raw!$DC:$DC),"")</f>
        <v/>
      </c>
      <c r="M268" s="189" t="str">
        <f>IFERROR(_xlfn.XLOOKUP($A268,Input_Raw!$A:$A,Input_Raw!$DF:$DF),"")</f>
        <v/>
      </c>
      <c r="N268" s="189" t="str">
        <f>IFERROR(_xlfn.XLOOKUP($A268,Input_Raw!$A:$A,Input_Raw!$DG:$DG),"")</f>
        <v/>
      </c>
      <c r="O268" s="219" t="str">
        <f>IFERROR(1-(SUMIF(Plant_BD!$B:$B,$A268,Plant_BD!$AL:$AL)/($AA268+SUMIF(Plant_BD!$B:$B,$A268,Plant_BD!$AL:$AL))),"")</f>
        <v/>
      </c>
      <c r="P268" s="219"/>
      <c r="Q268" s="220" t="str">
        <f>IFERROR(1-(SUMIF(Grid_BD!$B:$B,$A268,Grid_BD!$V:$V)/($AA268+SUMIF(Grid_BD!$B:$B,$A268,Grid_BD!$V:$V))),"")</f>
        <v/>
      </c>
      <c r="R268" s="219" t="str">
        <f>IFERROR(1-(SUMIF(Grid_BD!$B:$B,$A268,Grid_BD!$V:$V)/($AA268+SUMIF(Grid_BD!$B:$B,$A268,Grid_BD!$V:$V))),"")</f>
        <v/>
      </c>
      <c r="S268" s="9"/>
      <c r="T268" s="220"/>
      <c r="U268" s="221" t="str">
        <f t="shared" si="21"/>
        <v/>
      </c>
      <c r="V268" s="221" t="str">
        <f>IFERROR(_xlfn.XLOOKUP($A268,Input_Raw!$A:$A,Input_Raw!$FG:$FG),"")</f>
        <v/>
      </c>
      <c r="W268" s="222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78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22">
        <f>IFERROR(_xlfn.XLOOKUP($D268,'Modelling New'!$D:$D,'Modelling New'!O:O),"")</f>
        <v>0.85944279883329133</v>
      </c>
      <c r="AF268" s="222">
        <f>IFERROR(_xlfn.XLOOKUP($D268,'Modelling New'!$D:$D,'Modelling New'!W:W),"")</f>
        <v>0.19083326662266092</v>
      </c>
      <c r="AG268" s="222">
        <f>IFERROR(_xlfn.XLOOKUP($D268,'Modelling New'!$D:$D,'Modelling New'!AE:AE),"")</f>
        <v>0.995</v>
      </c>
      <c r="AH268" s="222">
        <f>IFERROR(_xlfn.XLOOKUP($D268,'Modelling New'!$D:$D,'Modelling New'!AF:AF),"")</f>
        <v>0.995</v>
      </c>
      <c r="AI268" s="9"/>
      <c r="AJ268" s="9"/>
      <c r="AK268" s="245"/>
      <c r="AL268" s="245"/>
      <c r="AM268" s="245"/>
      <c r="AN268" s="219"/>
      <c r="AO268" s="222"/>
      <c r="AP268" s="222"/>
      <c r="AQ268" s="222"/>
      <c r="AR268" s="223">
        <f>_xlfn.XLOOKUP(D268,'Modelling New'!$D:$D,'Modelling New'!$N:$N)</f>
        <v>130</v>
      </c>
      <c r="AS268" s="223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18">
        <f>Table13[[#This Row],[Date]]-DAY(Table13[[#This Row],[Date]])+1</f>
        <v>45992</v>
      </c>
      <c r="E269" s="9">
        <f t="shared" si="20"/>
        <v>31</v>
      </c>
      <c r="F269" s="188" t="str">
        <f>IFERROR(_xlfn.XLOOKUP($A269,Input_Raw!$A:$A,Input_Raw!$FC:$FC),"")</f>
        <v/>
      </c>
      <c r="G269" s="178" t="str">
        <f>IFERROR(_xlfn.XLOOKUP($A269,Input_Raw!$A:$A,Input_Raw!$CY:$CY),"")</f>
        <v/>
      </c>
      <c r="H269" s="178" t="str">
        <f>IFERROR(_xlfn.XLOOKUP($A269,Input_Raw!$A:$A,Input_Raw!$DA:$DA),"")</f>
        <v/>
      </c>
      <c r="I269" s="178" t="str">
        <f>IFERROR(_xlfn.XLOOKUP($A269,Input_Raw!$A:$A,Input_Raw!$CX:$CX),"")</f>
        <v/>
      </c>
      <c r="J269" s="178" t="str">
        <f>IFERROR(_xlfn.XLOOKUP($A269,Input_Raw!$A:$A,Input_Raw!$CZ:$CZ),"")</f>
        <v/>
      </c>
      <c r="K269" s="190" t="str">
        <f>IFERROR(_xlfn.XLOOKUP($A269,Input_Raw!$A:$A,Input_Raw!$DB:$DB),"")</f>
        <v/>
      </c>
      <c r="L269" s="190" t="str">
        <f>IFERROR(_xlfn.XLOOKUP($A269,Input_Raw!$A:$A,Input_Raw!$DC:$DC),"")</f>
        <v/>
      </c>
      <c r="M269" s="189" t="str">
        <f>IFERROR(_xlfn.XLOOKUP($A269,Input_Raw!$A:$A,Input_Raw!$DF:$DF),"")</f>
        <v/>
      </c>
      <c r="N269" s="189" t="str">
        <f>IFERROR(_xlfn.XLOOKUP($A269,Input_Raw!$A:$A,Input_Raw!$DG:$DG),"")</f>
        <v/>
      </c>
      <c r="O269" s="219" t="str">
        <f>IFERROR(1-(SUMIF(Plant_BD!$B:$B,$A269,Plant_BD!$AL:$AL)/($AA269+SUMIF(Plant_BD!$B:$B,$A269,Plant_BD!$AL:$AL))),"")</f>
        <v/>
      </c>
      <c r="P269" s="219"/>
      <c r="Q269" s="220" t="str">
        <f>IFERROR(1-(SUMIF(Grid_BD!$B:$B,$A269,Grid_BD!$V:$V)/($AA269+SUMIF(Grid_BD!$B:$B,$A269,Grid_BD!$V:$V))),"")</f>
        <v/>
      </c>
      <c r="R269" s="219" t="str">
        <f>IFERROR(1-(SUMIF(Grid_BD!$B:$B,$A269,Grid_BD!$V:$V)/($AA269+SUMIF(Grid_BD!$B:$B,$A269,Grid_BD!$V:$V))),"")</f>
        <v/>
      </c>
      <c r="S269" s="9"/>
      <c r="T269" s="220"/>
      <c r="U269" s="221" t="str">
        <f t="shared" si="21"/>
        <v/>
      </c>
      <c r="V269" s="221" t="str">
        <f>IFERROR(_xlfn.XLOOKUP($A269,Input_Raw!$A:$A,Input_Raw!$FG:$FG),"")</f>
        <v/>
      </c>
      <c r="W269" s="222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78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22">
        <f>IFERROR(_xlfn.XLOOKUP($D269,'Modelling New'!$D:$D,'Modelling New'!O:O),"")</f>
        <v>0.85944279883329133</v>
      </c>
      <c r="AF269" s="222">
        <f>IFERROR(_xlfn.XLOOKUP($D269,'Modelling New'!$D:$D,'Modelling New'!W:W),"")</f>
        <v>0.19083326662266092</v>
      </c>
      <c r="AG269" s="222">
        <f>IFERROR(_xlfn.XLOOKUP($D269,'Modelling New'!$D:$D,'Modelling New'!AE:AE),"")</f>
        <v>0.995</v>
      </c>
      <c r="AH269" s="222">
        <f>IFERROR(_xlfn.XLOOKUP($D269,'Modelling New'!$D:$D,'Modelling New'!AF:AF),"")</f>
        <v>0.995</v>
      </c>
      <c r="AI269" s="9"/>
      <c r="AJ269" s="9"/>
      <c r="AK269" s="245"/>
      <c r="AL269" s="245"/>
      <c r="AM269" s="245"/>
      <c r="AN269" s="219"/>
      <c r="AO269" s="222"/>
      <c r="AP269" s="222"/>
      <c r="AQ269" s="222"/>
      <c r="AR269" s="223">
        <f>_xlfn.XLOOKUP(D269,'Modelling New'!$D:$D,'Modelling New'!$N:$N)</f>
        <v>130</v>
      </c>
      <c r="AS269" s="223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18">
        <f>Table13[[#This Row],[Date]]-DAY(Table13[[#This Row],[Date]])+1</f>
        <v>45992</v>
      </c>
      <c r="E270" s="9">
        <f t="shared" si="20"/>
        <v>31</v>
      </c>
      <c r="F270" s="188" t="str">
        <f>IFERROR(_xlfn.XLOOKUP($A270,Input_Raw!$A:$A,Input_Raw!$FC:$FC),"")</f>
        <v/>
      </c>
      <c r="G270" s="189" t="str">
        <f>IFERROR(_xlfn.XLOOKUP($A270,Input_Raw!$A:$A,Input_Raw!$CY:$CY),"")</f>
        <v/>
      </c>
      <c r="H270" s="189" t="str">
        <f>IFERROR(_xlfn.XLOOKUP($A270,Input_Raw!$A:$A,Input_Raw!$DA:$DA),"")</f>
        <v/>
      </c>
      <c r="I270" s="189" t="str">
        <f>IFERROR(_xlfn.XLOOKUP($A270,Input_Raw!$A:$A,Input_Raw!$CX:$CX),"")</f>
        <v/>
      </c>
      <c r="J270" s="189" t="str">
        <f>IFERROR(_xlfn.XLOOKUP($A270,Input_Raw!$A:$A,Input_Raw!$CZ:$CZ),"")</f>
        <v/>
      </c>
      <c r="K270" s="190" t="str">
        <f>IFERROR(_xlfn.XLOOKUP($A270,Input_Raw!$A:$A,Input_Raw!$DB:$DB),"")</f>
        <v/>
      </c>
      <c r="L270" s="190" t="str">
        <f>IFERROR(_xlfn.XLOOKUP($A270,Input_Raw!$A:$A,Input_Raw!$DC:$DC),"")</f>
        <v/>
      </c>
      <c r="M270" s="189" t="str">
        <f>IFERROR(_xlfn.XLOOKUP($A270,Input_Raw!$A:$A,Input_Raw!$DF:$DF),"")</f>
        <v/>
      </c>
      <c r="N270" s="189" t="str">
        <f>IFERROR(_xlfn.XLOOKUP($A270,Input_Raw!$A:$A,Input_Raw!$DG:$DG),"")</f>
        <v/>
      </c>
      <c r="O270" s="219" t="str">
        <f>IFERROR(1-(SUMIF(Plant_BD!$B:$B,$A270,Plant_BD!$AL:$AL)/($AA270+SUMIF(Plant_BD!$B:$B,$A270,Plant_BD!$AL:$AL))),"")</f>
        <v/>
      </c>
      <c r="P270" s="219"/>
      <c r="Q270" s="220" t="str">
        <f>IFERROR(1-(SUMIF(Grid_BD!$B:$B,$A270,Grid_BD!$V:$V)/($AA270+SUMIF(Grid_BD!$B:$B,$A270,Grid_BD!$V:$V))),"")</f>
        <v/>
      </c>
      <c r="R270" s="219" t="str">
        <f>IFERROR(1-(SUMIF(Grid_BD!$B:$B,$A270,Grid_BD!$V:$V)/($AA270+SUMIF(Grid_BD!$B:$B,$A270,Grid_BD!$V:$V))),"")</f>
        <v/>
      </c>
      <c r="S270" s="9"/>
      <c r="T270" s="220"/>
      <c r="U270" s="221" t="str">
        <f t="shared" si="21"/>
        <v/>
      </c>
      <c r="V270" s="221" t="str">
        <f>IFERROR(_xlfn.XLOOKUP($A270,Input_Raw!$A:$A,Input_Raw!$FG:$FG),"")</f>
        <v/>
      </c>
      <c r="W270" s="222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78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22">
        <f>IFERROR(_xlfn.XLOOKUP($D270,'Modelling New'!$D:$D,'Modelling New'!O:O),"")</f>
        <v>0.85944279883329133</v>
      </c>
      <c r="AF270" s="222">
        <f>IFERROR(_xlfn.XLOOKUP($D270,'Modelling New'!$D:$D,'Modelling New'!W:W),"")</f>
        <v>0.19083326662266092</v>
      </c>
      <c r="AG270" s="222">
        <f>IFERROR(_xlfn.XLOOKUP($D270,'Modelling New'!$D:$D,'Modelling New'!AE:AE),"")</f>
        <v>0.995</v>
      </c>
      <c r="AH270" s="222">
        <f>IFERROR(_xlfn.XLOOKUP($D270,'Modelling New'!$D:$D,'Modelling New'!AF:AF),"")</f>
        <v>0.995</v>
      </c>
      <c r="AI270" s="9"/>
      <c r="AJ270" s="9"/>
      <c r="AK270" s="245"/>
      <c r="AL270" s="245"/>
      <c r="AM270" s="245"/>
      <c r="AN270" s="219"/>
      <c r="AO270" s="222"/>
      <c r="AP270" s="222"/>
      <c r="AQ270" s="222"/>
      <c r="AR270" s="223">
        <f>_xlfn.XLOOKUP(D270,'Modelling New'!$D:$D,'Modelling New'!$N:$N)</f>
        <v>130</v>
      </c>
      <c r="AS270" s="223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18">
        <f>Table13[[#This Row],[Date]]-DAY(Table13[[#This Row],[Date]])+1</f>
        <v>45992</v>
      </c>
      <c r="E271" s="9">
        <f t="shared" si="20"/>
        <v>31</v>
      </c>
      <c r="F271" s="188" t="str">
        <f>IFERROR(_xlfn.XLOOKUP($A271,Input_Raw!$A:$A,Input_Raw!$FC:$FC),"")</f>
        <v/>
      </c>
      <c r="G271" s="178" t="str">
        <f>IFERROR(_xlfn.XLOOKUP($A271,Input_Raw!$A:$A,Input_Raw!$CY:$CY),"")</f>
        <v/>
      </c>
      <c r="H271" s="178" t="str">
        <f>IFERROR(_xlfn.XLOOKUP($A271,Input_Raw!$A:$A,Input_Raw!$DA:$DA),"")</f>
        <v/>
      </c>
      <c r="I271" s="178" t="str">
        <f>IFERROR(_xlfn.XLOOKUP($A271,Input_Raw!$A:$A,Input_Raw!$CX:$CX),"")</f>
        <v/>
      </c>
      <c r="J271" s="178" t="str">
        <f>IFERROR(_xlfn.XLOOKUP($A271,Input_Raw!$A:$A,Input_Raw!$CZ:$CZ),"")</f>
        <v/>
      </c>
      <c r="K271" s="190" t="str">
        <f>IFERROR(_xlfn.XLOOKUP($A271,Input_Raw!$A:$A,Input_Raw!$DB:$DB),"")</f>
        <v/>
      </c>
      <c r="L271" s="190" t="str">
        <f>IFERROR(_xlfn.XLOOKUP($A271,Input_Raw!$A:$A,Input_Raw!$DC:$DC),"")</f>
        <v/>
      </c>
      <c r="M271" s="189" t="str">
        <f>IFERROR(_xlfn.XLOOKUP($A271,Input_Raw!$A:$A,Input_Raw!$DF:$DF),"")</f>
        <v/>
      </c>
      <c r="N271" s="189" t="str">
        <f>IFERROR(_xlfn.XLOOKUP($A271,Input_Raw!$A:$A,Input_Raw!$DG:$DG),"")</f>
        <v/>
      </c>
      <c r="O271" s="219" t="str">
        <f>IFERROR(1-(SUMIF(Plant_BD!$B:$B,$A271,Plant_BD!$AL:$AL)/($AA271+SUMIF(Plant_BD!$B:$B,$A271,Plant_BD!$AL:$AL))),"")</f>
        <v/>
      </c>
      <c r="P271" s="219"/>
      <c r="Q271" s="220" t="str">
        <f>IFERROR(1-(SUMIF(Grid_BD!$B:$B,$A271,Grid_BD!$V:$V)/($AA271+SUMIF(Grid_BD!$B:$B,$A271,Grid_BD!$V:$V))),"")</f>
        <v/>
      </c>
      <c r="R271" s="219" t="str">
        <f>IFERROR(1-(SUMIF(Grid_BD!$B:$B,$A271,Grid_BD!$V:$V)/($AA271+SUMIF(Grid_BD!$B:$B,$A271,Grid_BD!$V:$V))),"")</f>
        <v/>
      </c>
      <c r="S271" s="9"/>
      <c r="T271" s="220"/>
      <c r="U271" s="221" t="str">
        <f t="shared" si="21"/>
        <v/>
      </c>
      <c r="V271" s="221" t="str">
        <f>IFERROR(_xlfn.XLOOKUP($A271,Input_Raw!$A:$A,Input_Raw!$FG:$FG),"")</f>
        <v/>
      </c>
      <c r="W271" s="222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78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22">
        <f>IFERROR(_xlfn.XLOOKUP($D271,'Modelling New'!$D:$D,'Modelling New'!O:O),"")</f>
        <v>0.85944279883329133</v>
      </c>
      <c r="AF271" s="222">
        <f>IFERROR(_xlfn.XLOOKUP($D271,'Modelling New'!$D:$D,'Modelling New'!W:W),"")</f>
        <v>0.19083326662266092</v>
      </c>
      <c r="AG271" s="222">
        <f>IFERROR(_xlfn.XLOOKUP($D271,'Modelling New'!$D:$D,'Modelling New'!AE:AE),"")</f>
        <v>0.995</v>
      </c>
      <c r="AH271" s="222">
        <f>IFERROR(_xlfn.XLOOKUP($D271,'Modelling New'!$D:$D,'Modelling New'!AF:AF),"")</f>
        <v>0.995</v>
      </c>
      <c r="AI271" s="9"/>
      <c r="AJ271" s="9"/>
      <c r="AK271" s="245"/>
      <c r="AL271" s="245"/>
      <c r="AM271" s="245"/>
      <c r="AN271" s="219"/>
      <c r="AO271" s="222"/>
      <c r="AP271" s="222"/>
      <c r="AQ271" s="222"/>
      <c r="AR271" s="223">
        <f>_xlfn.XLOOKUP(D271,'Modelling New'!$D:$D,'Modelling New'!$N:$N)</f>
        <v>130</v>
      </c>
      <c r="AS271" s="223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18">
        <f>Table13[[#This Row],[Date]]-DAY(Table13[[#This Row],[Date]])+1</f>
        <v>45992</v>
      </c>
      <c r="E272" s="9">
        <f t="shared" si="20"/>
        <v>31</v>
      </c>
      <c r="F272" s="188" t="str">
        <f>IFERROR(_xlfn.XLOOKUP($A272,Input_Raw!$A:$A,Input_Raw!$FC:$FC),"")</f>
        <v/>
      </c>
      <c r="G272" s="189" t="str">
        <f>IFERROR(_xlfn.XLOOKUP($A272,Input_Raw!$A:$A,Input_Raw!$CY:$CY),"")</f>
        <v/>
      </c>
      <c r="H272" s="189" t="str">
        <f>IFERROR(_xlfn.XLOOKUP($A272,Input_Raw!$A:$A,Input_Raw!$DA:$DA),"")</f>
        <v/>
      </c>
      <c r="I272" s="189" t="str">
        <f>IFERROR(_xlfn.XLOOKUP($A272,Input_Raw!$A:$A,Input_Raw!$CX:$CX),"")</f>
        <v/>
      </c>
      <c r="J272" s="189" t="str">
        <f>IFERROR(_xlfn.XLOOKUP($A272,Input_Raw!$A:$A,Input_Raw!$CZ:$CZ),"")</f>
        <v/>
      </c>
      <c r="K272" s="190" t="str">
        <f>IFERROR(_xlfn.XLOOKUP($A272,Input_Raw!$A:$A,Input_Raw!$DB:$DB),"")</f>
        <v/>
      </c>
      <c r="L272" s="190" t="str">
        <f>IFERROR(_xlfn.XLOOKUP($A272,Input_Raw!$A:$A,Input_Raw!$DC:$DC),"")</f>
        <v/>
      </c>
      <c r="M272" s="189" t="str">
        <f>IFERROR(_xlfn.XLOOKUP($A272,Input_Raw!$A:$A,Input_Raw!$DF:$DF),"")</f>
        <v/>
      </c>
      <c r="N272" s="189" t="str">
        <f>IFERROR(_xlfn.XLOOKUP($A272,Input_Raw!$A:$A,Input_Raw!$DG:$DG),"")</f>
        <v/>
      </c>
      <c r="O272" s="219" t="str">
        <f>IFERROR(1-(SUMIF(Plant_BD!$B:$B,$A272,Plant_BD!$AL:$AL)/($AA272+SUMIF(Plant_BD!$B:$B,$A272,Plant_BD!$AL:$AL))),"")</f>
        <v/>
      </c>
      <c r="P272" s="219"/>
      <c r="Q272" s="220" t="str">
        <f>IFERROR(1-(SUMIF(Grid_BD!$B:$B,$A272,Grid_BD!$V:$V)/($AA272+SUMIF(Grid_BD!$B:$B,$A272,Grid_BD!$V:$V))),"")</f>
        <v/>
      </c>
      <c r="R272" s="219" t="str">
        <f>IFERROR(1-(SUMIF(Grid_BD!$B:$B,$A272,Grid_BD!$V:$V)/($AA272+SUMIF(Grid_BD!$B:$B,$A272,Grid_BD!$V:$V))),"")</f>
        <v/>
      </c>
      <c r="S272" s="9"/>
      <c r="T272" s="220"/>
      <c r="U272" s="221" t="str">
        <f t="shared" si="21"/>
        <v/>
      </c>
      <c r="V272" s="221" t="str">
        <f>IFERROR(_xlfn.XLOOKUP($A272,Input_Raw!$A:$A,Input_Raw!$FG:$FG),"")</f>
        <v/>
      </c>
      <c r="W272" s="222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78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22">
        <f>IFERROR(_xlfn.XLOOKUP($D272,'Modelling New'!$D:$D,'Modelling New'!O:O),"")</f>
        <v>0.85944279883329133</v>
      </c>
      <c r="AF272" s="222">
        <f>IFERROR(_xlfn.XLOOKUP($D272,'Modelling New'!$D:$D,'Modelling New'!W:W),"")</f>
        <v>0.19083326662266092</v>
      </c>
      <c r="AG272" s="222">
        <f>IFERROR(_xlfn.XLOOKUP($D272,'Modelling New'!$D:$D,'Modelling New'!AE:AE),"")</f>
        <v>0.995</v>
      </c>
      <c r="AH272" s="222">
        <f>IFERROR(_xlfn.XLOOKUP($D272,'Modelling New'!$D:$D,'Modelling New'!AF:AF),"")</f>
        <v>0.995</v>
      </c>
      <c r="AI272" s="9"/>
      <c r="AJ272" s="9"/>
      <c r="AK272" s="245"/>
      <c r="AL272" s="245"/>
      <c r="AM272" s="245"/>
      <c r="AN272" s="219"/>
      <c r="AO272" s="222"/>
      <c r="AP272" s="222"/>
      <c r="AQ272" s="222"/>
      <c r="AR272" s="223">
        <f>_xlfn.XLOOKUP(D272,'Modelling New'!$D:$D,'Modelling New'!$N:$N)</f>
        <v>130</v>
      </c>
      <c r="AS272" s="223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18">
        <f>Table13[[#This Row],[Date]]-DAY(Table13[[#This Row],[Date]])+1</f>
        <v>45992</v>
      </c>
      <c r="E273" s="9">
        <f t="shared" si="20"/>
        <v>31</v>
      </c>
      <c r="F273" s="188" t="str">
        <f>IFERROR(_xlfn.XLOOKUP($A273,Input_Raw!$A:$A,Input_Raw!$FC:$FC),"")</f>
        <v/>
      </c>
      <c r="G273" s="178" t="str">
        <f>IFERROR(_xlfn.XLOOKUP($A273,Input_Raw!$A:$A,Input_Raw!$CY:$CY),"")</f>
        <v/>
      </c>
      <c r="H273" s="178" t="str">
        <f>IFERROR(_xlfn.XLOOKUP($A273,Input_Raw!$A:$A,Input_Raw!$DA:$DA),"")</f>
        <v/>
      </c>
      <c r="I273" s="178" t="str">
        <f>IFERROR(_xlfn.XLOOKUP($A273,Input_Raw!$A:$A,Input_Raw!$CX:$CX),"")</f>
        <v/>
      </c>
      <c r="J273" s="178" t="str">
        <f>IFERROR(_xlfn.XLOOKUP($A273,Input_Raw!$A:$A,Input_Raw!$CZ:$CZ),"")</f>
        <v/>
      </c>
      <c r="K273" s="190" t="str">
        <f>IFERROR(_xlfn.XLOOKUP($A273,Input_Raw!$A:$A,Input_Raw!$DB:$DB),"")</f>
        <v/>
      </c>
      <c r="L273" s="190" t="str">
        <f>IFERROR(_xlfn.XLOOKUP($A273,Input_Raw!$A:$A,Input_Raw!$DC:$DC),"")</f>
        <v/>
      </c>
      <c r="M273" s="189" t="str">
        <f>IFERROR(_xlfn.XLOOKUP($A273,Input_Raw!$A:$A,Input_Raw!$DF:$DF),"")</f>
        <v/>
      </c>
      <c r="N273" s="189" t="str">
        <f>IFERROR(_xlfn.XLOOKUP($A273,Input_Raw!$A:$A,Input_Raw!$DG:$DG),"")</f>
        <v/>
      </c>
      <c r="O273" s="219" t="str">
        <f>IFERROR(1-(SUMIF(Plant_BD!$B:$B,$A273,Plant_BD!$AL:$AL)/($AA273+SUMIF(Plant_BD!$B:$B,$A273,Plant_BD!$AL:$AL))),"")</f>
        <v/>
      </c>
      <c r="P273" s="219"/>
      <c r="Q273" s="220" t="str">
        <f>IFERROR(1-(SUMIF(Grid_BD!$B:$B,$A273,Grid_BD!$V:$V)/($AA273+SUMIF(Grid_BD!$B:$B,$A273,Grid_BD!$V:$V))),"")</f>
        <v/>
      </c>
      <c r="R273" s="219" t="str">
        <f>IFERROR(1-(SUMIF(Grid_BD!$B:$B,$A273,Grid_BD!$V:$V)/($AA273+SUMIF(Grid_BD!$B:$B,$A273,Grid_BD!$V:$V))),"")</f>
        <v/>
      </c>
      <c r="S273" s="9"/>
      <c r="T273" s="220"/>
      <c r="U273" s="221" t="str">
        <f t="shared" si="21"/>
        <v/>
      </c>
      <c r="V273" s="221" t="str">
        <f>IFERROR(_xlfn.XLOOKUP($A273,Input_Raw!$A:$A,Input_Raw!$FG:$FG),"")</f>
        <v/>
      </c>
      <c r="W273" s="222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78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22">
        <f>IFERROR(_xlfn.XLOOKUP($D273,'Modelling New'!$D:$D,'Modelling New'!O:O),"")</f>
        <v>0.85944279883329133</v>
      </c>
      <c r="AF273" s="222">
        <f>IFERROR(_xlfn.XLOOKUP($D273,'Modelling New'!$D:$D,'Modelling New'!W:W),"")</f>
        <v>0.19083326662266092</v>
      </c>
      <c r="AG273" s="222">
        <f>IFERROR(_xlfn.XLOOKUP($D273,'Modelling New'!$D:$D,'Modelling New'!AE:AE),"")</f>
        <v>0.995</v>
      </c>
      <c r="AH273" s="222">
        <f>IFERROR(_xlfn.XLOOKUP($D273,'Modelling New'!$D:$D,'Modelling New'!AF:AF),"")</f>
        <v>0.995</v>
      </c>
      <c r="AI273" s="9"/>
      <c r="AJ273" s="9"/>
      <c r="AK273" s="245"/>
      <c r="AL273" s="245"/>
      <c r="AM273" s="245"/>
      <c r="AN273" s="219"/>
      <c r="AO273" s="222"/>
      <c r="AP273" s="222"/>
      <c r="AQ273" s="222"/>
      <c r="AR273" s="223">
        <f>_xlfn.XLOOKUP(D273,'Modelling New'!$D:$D,'Modelling New'!$N:$N)</f>
        <v>130</v>
      </c>
      <c r="AS273" s="223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18">
        <f>Table13[[#This Row],[Date]]-DAY(Table13[[#This Row],[Date]])+1</f>
        <v>45992</v>
      </c>
      <c r="E274" s="9">
        <f t="shared" si="20"/>
        <v>31</v>
      </c>
      <c r="F274" s="188" t="str">
        <f>IFERROR(_xlfn.XLOOKUP($A274,Input_Raw!$A:$A,Input_Raw!$FC:$FC),"")</f>
        <v/>
      </c>
      <c r="G274" s="189" t="str">
        <f>IFERROR(_xlfn.XLOOKUP($A274,Input_Raw!$A:$A,Input_Raw!$CY:$CY),"")</f>
        <v/>
      </c>
      <c r="H274" s="189" t="str">
        <f>IFERROR(_xlfn.XLOOKUP($A274,Input_Raw!$A:$A,Input_Raw!$DA:$DA),"")</f>
        <v/>
      </c>
      <c r="I274" s="189" t="str">
        <f>IFERROR(_xlfn.XLOOKUP($A274,Input_Raw!$A:$A,Input_Raw!$CX:$CX),"")</f>
        <v/>
      </c>
      <c r="J274" s="189" t="str">
        <f>IFERROR(_xlfn.XLOOKUP($A274,Input_Raw!$A:$A,Input_Raw!$CZ:$CZ),"")</f>
        <v/>
      </c>
      <c r="K274" s="190" t="str">
        <f>IFERROR(_xlfn.XLOOKUP($A274,Input_Raw!$A:$A,Input_Raw!$DB:$DB),"")</f>
        <v/>
      </c>
      <c r="L274" s="190" t="str">
        <f>IFERROR(_xlfn.XLOOKUP($A274,Input_Raw!$A:$A,Input_Raw!$DC:$DC),"")</f>
        <v/>
      </c>
      <c r="M274" s="189" t="str">
        <f>IFERROR(_xlfn.XLOOKUP($A274,Input_Raw!$A:$A,Input_Raw!$DF:$DF),"")</f>
        <v/>
      </c>
      <c r="N274" s="189" t="str">
        <f>IFERROR(_xlfn.XLOOKUP($A274,Input_Raw!$A:$A,Input_Raw!$DG:$DG),"")</f>
        <v/>
      </c>
      <c r="O274" s="219" t="str">
        <f>IFERROR(1-(SUMIF(Plant_BD!$B:$B,$A274,Plant_BD!$AL:$AL)/($AA274+SUMIF(Plant_BD!$B:$B,$A274,Plant_BD!$AL:$AL))),"")</f>
        <v/>
      </c>
      <c r="P274" s="219"/>
      <c r="Q274" s="220" t="str">
        <f>IFERROR(1-(SUMIF(Grid_BD!$B:$B,$A274,Grid_BD!$V:$V)/($AA274+SUMIF(Grid_BD!$B:$B,$A274,Grid_BD!$V:$V))),"")</f>
        <v/>
      </c>
      <c r="R274" s="219" t="str">
        <f>IFERROR(1-(SUMIF(Grid_BD!$B:$B,$A274,Grid_BD!$V:$V)/($AA274+SUMIF(Grid_BD!$B:$B,$A274,Grid_BD!$V:$V))),"")</f>
        <v/>
      </c>
      <c r="S274" s="9"/>
      <c r="T274" s="220"/>
      <c r="U274" s="221" t="str">
        <f t="shared" si="21"/>
        <v/>
      </c>
      <c r="V274" s="221" t="str">
        <f>IFERROR(_xlfn.XLOOKUP($A274,Input_Raw!$A:$A,Input_Raw!$FG:$FG),"")</f>
        <v/>
      </c>
      <c r="W274" s="222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78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22">
        <f>IFERROR(_xlfn.XLOOKUP($D274,'Modelling New'!$D:$D,'Modelling New'!O:O),"")</f>
        <v>0.85944279883329133</v>
      </c>
      <c r="AF274" s="222">
        <f>IFERROR(_xlfn.XLOOKUP($D274,'Modelling New'!$D:$D,'Modelling New'!W:W),"")</f>
        <v>0.19083326662266092</v>
      </c>
      <c r="AG274" s="222">
        <f>IFERROR(_xlfn.XLOOKUP($D274,'Modelling New'!$D:$D,'Modelling New'!AE:AE),"")</f>
        <v>0.995</v>
      </c>
      <c r="AH274" s="222">
        <f>IFERROR(_xlfn.XLOOKUP($D274,'Modelling New'!$D:$D,'Modelling New'!AF:AF),"")</f>
        <v>0.995</v>
      </c>
      <c r="AI274" s="9"/>
      <c r="AJ274" s="9"/>
      <c r="AK274" s="245"/>
      <c r="AL274" s="245"/>
      <c r="AM274" s="245"/>
      <c r="AN274" s="219"/>
      <c r="AO274" s="222"/>
      <c r="AP274" s="222"/>
      <c r="AQ274" s="222"/>
      <c r="AR274" s="223">
        <f>_xlfn.XLOOKUP(D274,'Modelling New'!$D:$D,'Modelling New'!$N:$N)</f>
        <v>130</v>
      </c>
      <c r="AS274" s="223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18">
        <f>Table13[[#This Row],[Date]]-DAY(Table13[[#This Row],[Date]])+1</f>
        <v>45992</v>
      </c>
      <c r="E275" s="9">
        <f t="shared" si="20"/>
        <v>31</v>
      </c>
      <c r="F275" s="188" t="str">
        <f>IFERROR(_xlfn.XLOOKUP($A275,Input_Raw!$A:$A,Input_Raw!$FC:$FC),"")</f>
        <v/>
      </c>
      <c r="G275" s="178" t="str">
        <f>IFERROR(_xlfn.XLOOKUP($A275,Input_Raw!$A:$A,Input_Raw!$CY:$CY),"")</f>
        <v/>
      </c>
      <c r="H275" s="178" t="str">
        <f>IFERROR(_xlfn.XLOOKUP($A275,Input_Raw!$A:$A,Input_Raw!$DA:$DA),"")</f>
        <v/>
      </c>
      <c r="I275" s="178" t="str">
        <f>IFERROR(_xlfn.XLOOKUP($A275,Input_Raw!$A:$A,Input_Raw!$CX:$CX),"")</f>
        <v/>
      </c>
      <c r="J275" s="178" t="str">
        <f>IFERROR(_xlfn.XLOOKUP($A275,Input_Raw!$A:$A,Input_Raw!$CZ:$CZ),"")</f>
        <v/>
      </c>
      <c r="K275" s="190" t="str">
        <f>IFERROR(_xlfn.XLOOKUP($A275,Input_Raw!$A:$A,Input_Raw!$DB:$DB),"")</f>
        <v/>
      </c>
      <c r="L275" s="190" t="str">
        <f>IFERROR(_xlfn.XLOOKUP($A275,Input_Raw!$A:$A,Input_Raw!$DC:$DC),"")</f>
        <v/>
      </c>
      <c r="M275" s="189" t="str">
        <f>IFERROR(_xlfn.XLOOKUP($A275,Input_Raw!$A:$A,Input_Raw!$DF:$DF),"")</f>
        <v/>
      </c>
      <c r="N275" s="189" t="str">
        <f>IFERROR(_xlfn.XLOOKUP($A275,Input_Raw!$A:$A,Input_Raw!$DG:$DG),"")</f>
        <v/>
      </c>
      <c r="O275" s="219" t="str">
        <f>IFERROR(1-(SUMIF(Plant_BD!$B:$B,$A275,Plant_BD!$AL:$AL)/($AA275+SUMIF(Plant_BD!$B:$B,$A275,Plant_BD!$AL:$AL))),"")</f>
        <v/>
      </c>
      <c r="P275" s="219"/>
      <c r="Q275" s="220" t="str">
        <f>IFERROR(1-(SUMIF(Grid_BD!$B:$B,$A275,Grid_BD!$V:$V)/($AA275+SUMIF(Grid_BD!$B:$B,$A275,Grid_BD!$V:$V))),"")</f>
        <v/>
      </c>
      <c r="R275" s="219" t="str">
        <f>IFERROR(1-(SUMIF(Grid_BD!$B:$B,$A275,Grid_BD!$V:$V)/($AA275+SUMIF(Grid_BD!$B:$B,$A275,Grid_BD!$V:$V))),"")</f>
        <v/>
      </c>
      <c r="S275" s="9"/>
      <c r="T275" s="220"/>
      <c r="U275" s="221" t="str">
        <f t="shared" si="21"/>
        <v/>
      </c>
      <c r="V275" s="221" t="str">
        <f>IFERROR(_xlfn.XLOOKUP($A275,Input_Raw!$A:$A,Input_Raw!$FG:$FG),"")</f>
        <v/>
      </c>
      <c r="W275" s="222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78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22">
        <f>IFERROR(_xlfn.XLOOKUP($D275,'Modelling New'!$D:$D,'Modelling New'!O:O),"")</f>
        <v>0.85944279883329133</v>
      </c>
      <c r="AF275" s="222">
        <f>IFERROR(_xlfn.XLOOKUP($D275,'Modelling New'!$D:$D,'Modelling New'!W:W),"")</f>
        <v>0.19083326662266092</v>
      </c>
      <c r="AG275" s="222">
        <f>IFERROR(_xlfn.XLOOKUP($D275,'Modelling New'!$D:$D,'Modelling New'!AE:AE),"")</f>
        <v>0.995</v>
      </c>
      <c r="AH275" s="222">
        <f>IFERROR(_xlfn.XLOOKUP($D275,'Modelling New'!$D:$D,'Modelling New'!AF:AF),"")</f>
        <v>0.995</v>
      </c>
      <c r="AI275" s="9"/>
      <c r="AJ275" s="9"/>
      <c r="AK275" s="245"/>
      <c r="AL275" s="245"/>
      <c r="AM275" s="245"/>
      <c r="AN275" s="219"/>
      <c r="AO275" s="222"/>
      <c r="AP275" s="222"/>
      <c r="AQ275" s="222"/>
      <c r="AR275" s="223">
        <f>_xlfn.XLOOKUP(D275,'Modelling New'!$D:$D,'Modelling New'!$N:$N)</f>
        <v>130</v>
      </c>
      <c r="AS275" s="223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18">
        <f>Table13[[#This Row],[Date]]-DAY(Table13[[#This Row],[Date]])+1</f>
        <v>45992</v>
      </c>
      <c r="E276" s="9">
        <f t="shared" si="20"/>
        <v>31</v>
      </c>
      <c r="F276" s="188" t="str">
        <f>IFERROR(_xlfn.XLOOKUP($A276,Input_Raw!$A:$A,Input_Raw!$FC:$FC),"")</f>
        <v/>
      </c>
      <c r="G276" s="189" t="str">
        <f>IFERROR(_xlfn.XLOOKUP($A276,Input_Raw!$A:$A,Input_Raw!$CY:$CY),"")</f>
        <v/>
      </c>
      <c r="H276" s="189" t="str">
        <f>IFERROR(_xlfn.XLOOKUP($A276,Input_Raw!$A:$A,Input_Raw!$DA:$DA),"")</f>
        <v/>
      </c>
      <c r="I276" s="189" t="str">
        <f>IFERROR(_xlfn.XLOOKUP($A276,Input_Raw!$A:$A,Input_Raw!$CX:$CX),"")</f>
        <v/>
      </c>
      <c r="J276" s="189" t="str">
        <f>IFERROR(_xlfn.XLOOKUP($A276,Input_Raw!$A:$A,Input_Raw!$CZ:$CZ),"")</f>
        <v/>
      </c>
      <c r="K276" s="190" t="str">
        <f>IFERROR(_xlfn.XLOOKUP($A276,Input_Raw!$A:$A,Input_Raw!$DB:$DB),"")</f>
        <v/>
      </c>
      <c r="L276" s="190" t="str">
        <f>IFERROR(_xlfn.XLOOKUP($A276,Input_Raw!$A:$A,Input_Raw!$DC:$DC),"")</f>
        <v/>
      </c>
      <c r="M276" s="189" t="str">
        <f>IFERROR(_xlfn.XLOOKUP($A276,Input_Raw!$A:$A,Input_Raw!$DF:$DF),"")</f>
        <v/>
      </c>
      <c r="N276" s="189" t="str">
        <f>IFERROR(_xlfn.XLOOKUP($A276,Input_Raw!$A:$A,Input_Raw!$DG:$DG),"")</f>
        <v/>
      </c>
      <c r="O276" s="219" t="str">
        <f>IFERROR(1-(SUMIF(Plant_BD!$B:$B,$A276,Plant_BD!$AL:$AL)/($AA276+SUMIF(Plant_BD!$B:$B,$A276,Plant_BD!$AL:$AL))),"")</f>
        <v/>
      </c>
      <c r="P276" s="219"/>
      <c r="Q276" s="220" t="str">
        <f>IFERROR(1-(SUMIF(Grid_BD!$B:$B,$A276,Grid_BD!$V:$V)/($AA276+SUMIF(Grid_BD!$B:$B,$A276,Grid_BD!$V:$V))),"")</f>
        <v/>
      </c>
      <c r="R276" s="219" t="str">
        <f>IFERROR(1-(SUMIF(Grid_BD!$B:$B,$A276,Grid_BD!$V:$V)/($AA276+SUMIF(Grid_BD!$B:$B,$A276,Grid_BD!$V:$V))),"")</f>
        <v/>
      </c>
      <c r="S276" s="9"/>
      <c r="T276" s="220"/>
      <c r="U276" s="221" t="str">
        <f t="shared" si="21"/>
        <v/>
      </c>
      <c r="V276" s="221" t="str">
        <f>IFERROR(_xlfn.XLOOKUP($A276,Input_Raw!$A:$A,Input_Raw!$FG:$FG),"")</f>
        <v/>
      </c>
      <c r="W276" s="222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78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22">
        <f>IFERROR(_xlfn.XLOOKUP($D276,'Modelling New'!$D:$D,'Modelling New'!O:O),"")</f>
        <v>0.85944279883329133</v>
      </c>
      <c r="AF276" s="222">
        <f>IFERROR(_xlfn.XLOOKUP($D276,'Modelling New'!$D:$D,'Modelling New'!W:W),"")</f>
        <v>0.19083326662266092</v>
      </c>
      <c r="AG276" s="222">
        <f>IFERROR(_xlfn.XLOOKUP($D276,'Modelling New'!$D:$D,'Modelling New'!AE:AE),"")</f>
        <v>0.995</v>
      </c>
      <c r="AH276" s="222">
        <f>IFERROR(_xlfn.XLOOKUP($D276,'Modelling New'!$D:$D,'Modelling New'!AF:AF),"")</f>
        <v>0.995</v>
      </c>
      <c r="AI276" s="9"/>
      <c r="AJ276" s="9"/>
      <c r="AK276" s="245"/>
      <c r="AL276" s="245"/>
      <c r="AM276" s="245"/>
      <c r="AN276" s="219"/>
      <c r="AO276" s="222"/>
      <c r="AP276" s="222"/>
      <c r="AQ276" s="222"/>
      <c r="AR276" s="223">
        <f>_xlfn.XLOOKUP(D276,'Modelling New'!$D:$D,'Modelling New'!$N:$N)</f>
        <v>130</v>
      </c>
      <c r="AS276" s="223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18">
        <f>Table13[[#This Row],[Date]]-DAY(Table13[[#This Row],[Date]])+1</f>
        <v>45992</v>
      </c>
      <c r="E277" s="9">
        <f t="shared" si="20"/>
        <v>31</v>
      </c>
      <c r="F277" s="188" t="str">
        <f>IFERROR(_xlfn.XLOOKUP($A277,Input_Raw!$A:$A,Input_Raw!$FC:$FC),"")</f>
        <v/>
      </c>
      <c r="G277" s="178" t="str">
        <f>IFERROR(_xlfn.XLOOKUP($A277,Input_Raw!$A:$A,Input_Raw!$CY:$CY),"")</f>
        <v/>
      </c>
      <c r="H277" s="178" t="str">
        <f>IFERROR(_xlfn.XLOOKUP($A277,Input_Raw!$A:$A,Input_Raw!$DA:$DA),"")</f>
        <v/>
      </c>
      <c r="I277" s="178" t="str">
        <f>IFERROR(_xlfn.XLOOKUP($A277,Input_Raw!$A:$A,Input_Raw!$CX:$CX),"")</f>
        <v/>
      </c>
      <c r="J277" s="178" t="str">
        <f>IFERROR(_xlfn.XLOOKUP($A277,Input_Raw!$A:$A,Input_Raw!$CZ:$CZ),"")</f>
        <v/>
      </c>
      <c r="K277" s="190" t="str">
        <f>IFERROR(_xlfn.XLOOKUP($A277,Input_Raw!$A:$A,Input_Raw!$DB:$DB),"")</f>
        <v/>
      </c>
      <c r="L277" s="190" t="str">
        <f>IFERROR(_xlfn.XLOOKUP($A277,Input_Raw!$A:$A,Input_Raw!$DC:$DC),"")</f>
        <v/>
      </c>
      <c r="M277" s="189" t="str">
        <f>IFERROR(_xlfn.XLOOKUP($A277,Input_Raw!$A:$A,Input_Raw!$DF:$DF),"")</f>
        <v/>
      </c>
      <c r="N277" s="189" t="str">
        <f>IFERROR(_xlfn.XLOOKUP($A277,Input_Raw!$A:$A,Input_Raw!$DG:$DG),"")</f>
        <v/>
      </c>
      <c r="O277" s="219" t="str">
        <f>IFERROR(1-(SUMIF(Plant_BD!$B:$B,$A277,Plant_BD!$AL:$AL)/($AA277+SUMIF(Plant_BD!$B:$B,$A277,Plant_BD!$AL:$AL))),"")</f>
        <v/>
      </c>
      <c r="P277" s="219"/>
      <c r="Q277" s="220" t="str">
        <f>IFERROR(1-(SUMIF(Grid_BD!$B:$B,$A277,Grid_BD!$V:$V)/($AA277+SUMIF(Grid_BD!$B:$B,$A277,Grid_BD!$V:$V))),"")</f>
        <v/>
      </c>
      <c r="R277" s="219" t="str">
        <f>IFERROR(1-(SUMIF(Grid_BD!$B:$B,$A277,Grid_BD!$V:$V)/($AA277+SUMIF(Grid_BD!$B:$B,$A277,Grid_BD!$V:$V))),"")</f>
        <v/>
      </c>
      <c r="S277" s="9"/>
      <c r="T277" s="220"/>
      <c r="U277" s="221" t="str">
        <f t="shared" si="21"/>
        <v/>
      </c>
      <c r="V277" s="221" t="str">
        <f>IFERROR(_xlfn.XLOOKUP($A277,Input_Raw!$A:$A,Input_Raw!$FG:$FG),"")</f>
        <v/>
      </c>
      <c r="W277" s="222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78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22">
        <f>IFERROR(_xlfn.XLOOKUP($D277,'Modelling New'!$D:$D,'Modelling New'!O:O),"")</f>
        <v>0.85944279883329133</v>
      </c>
      <c r="AF277" s="222">
        <f>IFERROR(_xlfn.XLOOKUP($D277,'Modelling New'!$D:$D,'Modelling New'!W:W),"")</f>
        <v>0.19083326662266092</v>
      </c>
      <c r="AG277" s="222">
        <f>IFERROR(_xlfn.XLOOKUP($D277,'Modelling New'!$D:$D,'Modelling New'!AE:AE),"")</f>
        <v>0.995</v>
      </c>
      <c r="AH277" s="222">
        <f>IFERROR(_xlfn.XLOOKUP($D277,'Modelling New'!$D:$D,'Modelling New'!AF:AF),"")</f>
        <v>0.995</v>
      </c>
      <c r="AI277" s="9"/>
      <c r="AJ277" s="9"/>
      <c r="AK277" s="245"/>
      <c r="AL277" s="245"/>
      <c r="AM277" s="245"/>
      <c r="AN277" s="219"/>
      <c r="AO277" s="222"/>
      <c r="AP277" s="222"/>
      <c r="AQ277" s="222"/>
      <c r="AR277" s="223">
        <f>_xlfn.XLOOKUP(D277,'Modelling New'!$D:$D,'Modelling New'!$N:$N)</f>
        <v>130</v>
      </c>
      <c r="AS277" s="223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18">
        <f>Table13[[#This Row],[Date]]-DAY(Table13[[#This Row],[Date]])+1</f>
        <v>45992</v>
      </c>
      <c r="E278" s="9">
        <f t="shared" si="20"/>
        <v>31</v>
      </c>
      <c r="F278" s="188" t="str">
        <f>IFERROR(_xlfn.XLOOKUP($A278,Input_Raw!$A:$A,Input_Raw!$FC:$FC),"")</f>
        <v/>
      </c>
      <c r="G278" s="189" t="str">
        <f>IFERROR(_xlfn.XLOOKUP($A278,Input_Raw!$A:$A,Input_Raw!$CY:$CY),"")</f>
        <v/>
      </c>
      <c r="H278" s="189" t="str">
        <f>IFERROR(_xlfn.XLOOKUP($A278,Input_Raw!$A:$A,Input_Raw!$DA:$DA),"")</f>
        <v/>
      </c>
      <c r="I278" s="189" t="str">
        <f>IFERROR(_xlfn.XLOOKUP($A278,Input_Raw!$A:$A,Input_Raw!$CX:$CX),"")</f>
        <v/>
      </c>
      <c r="J278" s="189" t="str">
        <f>IFERROR(_xlfn.XLOOKUP($A278,Input_Raw!$A:$A,Input_Raw!$CZ:$CZ),"")</f>
        <v/>
      </c>
      <c r="K278" s="190" t="str">
        <f>IFERROR(_xlfn.XLOOKUP($A278,Input_Raw!$A:$A,Input_Raw!$DB:$DB),"")</f>
        <v/>
      </c>
      <c r="L278" s="190" t="str">
        <f>IFERROR(_xlfn.XLOOKUP($A278,Input_Raw!$A:$A,Input_Raw!$DC:$DC),"")</f>
        <v/>
      </c>
      <c r="M278" s="189" t="str">
        <f>IFERROR(_xlfn.XLOOKUP($A278,Input_Raw!$A:$A,Input_Raw!$DF:$DF),"")</f>
        <v/>
      </c>
      <c r="N278" s="189" t="str">
        <f>IFERROR(_xlfn.XLOOKUP($A278,Input_Raw!$A:$A,Input_Raw!$DG:$DG),"")</f>
        <v/>
      </c>
      <c r="O278" s="219" t="str">
        <f>IFERROR(1-(SUMIF(Plant_BD!$B:$B,$A278,Plant_BD!$AL:$AL)/($AA278+SUMIF(Plant_BD!$B:$B,$A278,Plant_BD!$AL:$AL))),"")</f>
        <v/>
      </c>
      <c r="P278" s="219"/>
      <c r="Q278" s="220" t="str">
        <f>IFERROR(1-(SUMIF(Grid_BD!$B:$B,$A278,Grid_BD!$V:$V)/($AA278+SUMIF(Grid_BD!$B:$B,$A278,Grid_BD!$V:$V))),"")</f>
        <v/>
      </c>
      <c r="R278" s="219" t="str">
        <f>IFERROR(1-(SUMIF(Grid_BD!$B:$B,$A278,Grid_BD!$V:$V)/($AA278+SUMIF(Grid_BD!$B:$B,$A278,Grid_BD!$V:$V))),"")</f>
        <v/>
      </c>
      <c r="S278" s="9"/>
      <c r="T278" s="220"/>
      <c r="U278" s="221" t="str">
        <f t="shared" si="21"/>
        <v/>
      </c>
      <c r="V278" s="221" t="str">
        <f>IFERROR(_xlfn.XLOOKUP($A278,Input_Raw!$A:$A,Input_Raw!$FG:$FG),"")</f>
        <v/>
      </c>
      <c r="W278" s="222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78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22">
        <f>IFERROR(_xlfn.XLOOKUP($D278,'Modelling New'!$D:$D,'Modelling New'!O:O),"")</f>
        <v>0.85944279883329133</v>
      </c>
      <c r="AF278" s="222">
        <f>IFERROR(_xlfn.XLOOKUP($D278,'Modelling New'!$D:$D,'Modelling New'!W:W),"")</f>
        <v>0.19083326662266092</v>
      </c>
      <c r="AG278" s="222">
        <f>IFERROR(_xlfn.XLOOKUP($D278,'Modelling New'!$D:$D,'Modelling New'!AE:AE),"")</f>
        <v>0.995</v>
      </c>
      <c r="AH278" s="222">
        <f>IFERROR(_xlfn.XLOOKUP($D278,'Modelling New'!$D:$D,'Modelling New'!AF:AF),"")</f>
        <v>0.995</v>
      </c>
      <c r="AI278" s="9"/>
      <c r="AJ278" s="9"/>
      <c r="AK278" s="245"/>
      <c r="AL278" s="245"/>
      <c r="AM278" s="245"/>
      <c r="AN278" s="219"/>
      <c r="AO278" s="222"/>
      <c r="AP278" s="222"/>
      <c r="AQ278" s="222"/>
      <c r="AR278" s="223">
        <f>_xlfn.XLOOKUP(D278,'Modelling New'!$D:$D,'Modelling New'!$N:$N)</f>
        <v>130</v>
      </c>
      <c r="AS278" s="223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18">
        <f>Table13[[#This Row],[Date]]-DAY(Table13[[#This Row],[Date]])+1</f>
        <v>45992</v>
      </c>
      <c r="E279" s="9">
        <f t="shared" si="20"/>
        <v>31</v>
      </c>
      <c r="F279" s="188" t="str">
        <f>IFERROR(_xlfn.XLOOKUP($A279,Input_Raw!$A:$A,Input_Raw!$FC:$FC),"")</f>
        <v/>
      </c>
      <c r="G279" s="178" t="str">
        <f>IFERROR(_xlfn.XLOOKUP($A279,Input_Raw!$A:$A,Input_Raw!$CY:$CY),"")</f>
        <v/>
      </c>
      <c r="H279" s="178" t="str">
        <f>IFERROR(_xlfn.XLOOKUP($A279,Input_Raw!$A:$A,Input_Raw!$DA:$DA),"")</f>
        <v/>
      </c>
      <c r="I279" s="178" t="str">
        <f>IFERROR(_xlfn.XLOOKUP($A279,Input_Raw!$A:$A,Input_Raw!$CX:$CX),"")</f>
        <v/>
      </c>
      <c r="J279" s="178" t="str">
        <f>IFERROR(_xlfn.XLOOKUP($A279,Input_Raw!$A:$A,Input_Raw!$CZ:$CZ),"")</f>
        <v/>
      </c>
      <c r="K279" s="190" t="str">
        <f>IFERROR(_xlfn.XLOOKUP($A279,Input_Raw!$A:$A,Input_Raw!$DB:$DB),"")</f>
        <v/>
      </c>
      <c r="L279" s="190" t="str">
        <f>IFERROR(_xlfn.XLOOKUP($A279,Input_Raw!$A:$A,Input_Raw!$DC:$DC),"")</f>
        <v/>
      </c>
      <c r="M279" s="189" t="str">
        <f>IFERROR(_xlfn.XLOOKUP($A279,Input_Raw!$A:$A,Input_Raw!$DF:$DF),"")</f>
        <v/>
      </c>
      <c r="N279" s="189" t="str">
        <f>IFERROR(_xlfn.XLOOKUP($A279,Input_Raw!$A:$A,Input_Raw!$DG:$DG),"")</f>
        <v/>
      </c>
      <c r="O279" s="219" t="str">
        <f>IFERROR(1-(SUMIF(Plant_BD!$B:$B,$A279,Plant_BD!$AL:$AL)/($AA279+SUMIF(Plant_BD!$B:$B,$A279,Plant_BD!$AL:$AL))),"")</f>
        <v/>
      </c>
      <c r="P279" s="219"/>
      <c r="Q279" s="220" t="str">
        <f>IFERROR(1-(SUMIF(Grid_BD!$B:$B,$A279,Grid_BD!$V:$V)/($AA279+SUMIF(Grid_BD!$B:$B,$A279,Grid_BD!$V:$V))),"")</f>
        <v/>
      </c>
      <c r="R279" s="219" t="str">
        <f>IFERROR(1-(SUMIF(Grid_BD!$B:$B,$A279,Grid_BD!$V:$V)/($AA279+SUMIF(Grid_BD!$B:$B,$A279,Grid_BD!$V:$V))),"")</f>
        <v/>
      </c>
      <c r="S279" s="9"/>
      <c r="T279" s="220"/>
      <c r="U279" s="221" t="str">
        <f t="shared" si="21"/>
        <v/>
      </c>
      <c r="V279" s="221" t="str">
        <f>IFERROR(_xlfn.XLOOKUP($A279,Input_Raw!$A:$A,Input_Raw!$FG:$FG),"")</f>
        <v/>
      </c>
      <c r="W279" s="222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78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22">
        <f>IFERROR(_xlfn.XLOOKUP($D279,'Modelling New'!$D:$D,'Modelling New'!O:O),"")</f>
        <v>0.85944279883329133</v>
      </c>
      <c r="AF279" s="222">
        <f>IFERROR(_xlfn.XLOOKUP($D279,'Modelling New'!$D:$D,'Modelling New'!W:W),"")</f>
        <v>0.19083326662266092</v>
      </c>
      <c r="AG279" s="222">
        <f>IFERROR(_xlfn.XLOOKUP($D279,'Modelling New'!$D:$D,'Modelling New'!AE:AE),"")</f>
        <v>0.995</v>
      </c>
      <c r="AH279" s="222">
        <f>IFERROR(_xlfn.XLOOKUP($D279,'Modelling New'!$D:$D,'Modelling New'!AF:AF),"")</f>
        <v>0.995</v>
      </c>
      <c r="AI279" s="9"/>
      <c r="AJ279" s="9"/>
      <c r="AK279" s="245"/>
      <c r="AL279" s="245"/>
      <c r="AM279" s="245"/>
      <c r="AN279" s="219"/>
      <c r="AO279" s="222"/>
      <c r="AP279" s="222"/>
      <c r="AQ279" s="222"/>
      <c r="AR279" s="223">
        <f>_xlfn.XLOOKUP(D279,'Modelling New'!$D:$D,'Modelling New'!$N:$N)</f>
        <v>130</v>
      </c>
      <c r="AS279" s="223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18">
        <f>Table13[[#This Row],[Date]]-DAY(Table13[[#This Row],[Date]])+1</f>
        <v>46023</v>
      </c>
      <c r="E280" s="9">
        <f t="shared" si="20"/>
        <v>31</v>
      </c>
      <c r="F280" s="188" t="str">
        <f>IFERROR(_xlfn.XLOOKUP($A280,Input_Raw!$A:$A,Input_Raw!$FC:$FC),"")</f>
        <v/>
      </c>
      <c r="G280" s="189" t="str">
        <f>IFERROR(_xlfn.XLOOKUP($A280,Input_Raw!$A:$A,Input_Raw!$CY:$CY),"")</f>
        <v/>
      </c>
      <c r="H280" s="189" t="str">
        <f>IFERROR(_xlfn.XLOOKUP($A280,Input_Raw!$A:$A,Input_Raw!$DA:$DA),"")</f>
        <v/>
      </c>
      <c r="I280" s="189" t="str">
        <f>IFERROR(_xlfn.XLOOKUP($A280,Input_Raw!$A:$A,Input_Raw!$CX:$CX),"")</f>
        <v/>
      </c>
      <c r="J280" s="189" t="str">
        <f>IFERROR(_xlfn.XLOOKUP($A280,Input_Raw!$A:$A,Input_Raw!$CZ:$CZ),"")</f>
        <v/>
      </c>
      <c r="K280" s="190" t="str">
        <f>IFERROR(_xlfn.XLOOKUP($A280,Input_Raw!$A:$A,Input_Raw!$DB:$DB),"")</f>
        <v/>
      </c>
      <c r="L280" s="190" t="str">
        <f>IFERROR(_xlfn.XLOOKUP($A280,Input_Raw!$A:$A,Input_Raw!$DC:$DC),"")</f>
        <v/>
      </c>
      <c r="M280" s="189" t="str">
        <f>IFERROR(_xlfn.XLOOKUP($A280,Input_Raw!$A:$A,Input_Raw!$DF:$DF),"")</f>
        <v/>
      </c>
      <c r="N280" s="189" t="str">
        <f>IFERROR(_xlfn.XLOOKUP($A280,Input_Raw!$A:$A,Input_Raw!$DG:$DG),"")</f>
        <v/>
      </c>
      <c r="O280" s="219" t="str">
        <f>IFERROR(1-(SUMIF(Plant_BD!$B:$B,$A280,Plant_BD!$AL:$AL)/($AA280+SUMIF(Plant_BD!$B:$B,$A280,Plant_BD!$AL:$AL))),"")</f>
        <v/>
      </c>
      <c r="P280" s="219"/>
      <c r="Q280" s="220" t="str">
        <f>IFERROR(1-(SUMIF(Grid_BD!$B:$B,$A280,Grid_BD!$V:$V)/($AA280+SUMIF(Grid_BD!$B:$B,$A280,Grid_BD!$V:$V))),"")</f>
        <v/>
      </c>
      <c r="R280" s="219" t="str">
        <f>IFERROR(1-(SUMIF(Grid_BD!$B:$B,$A280,Grid_BD!$V:$V)/($AA280+SUMIF(Grid_BD!$B:$B,$A280,Grid_BD!$V:$V))),"")</f>
        <v/>
      </c>
      <c r="S280" s="9"/>
      <c r="T280" s="220"/>
      <c r="U280" s="221" t="str">
        <f t="shared" si="21"/>
        <v/>
      </c>
      <c r="V280" s="221" t="str">
        <f>IFERROR(_xlfn.XLOOKUP($A280,Input_Raw!$A:$A,Input_Raw!$FG:$FG),"")</f>
        <v/>
      </c>
      <c r="W280" s="222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78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22">
        <f>IFERROR(_xlfn.XLOOKUP($D280,'Modelling New'!$D:$D,'Modelling New'!O:O),"")</f>
        <v>0.85614594057129279</v>
      </c>
      <c r="AF280" s="222">
        <f>IFERROR(_xlfn.XLOOKUP($D280,'Modelling New'!$D:$D,'Modelling New'!W:W),"")</f>
        <v>0.19677547827646649</v>
      </c>
      <c r="AG280" s="222">
        <f>IFERROR(_xlfn.XLOOKUP($D280,'Modelling New'!$D:$D,'Modelling New'!AE:AE),"")</f>
        <v>0.995</v>
      </c>
      <c r="AH280" s="222">
        <f>IFERROR(_xlfn.XLOOKUP($D280,'Modelling New'!$D:$D,'Modelling New'!AF:AF),"")</f>
        <v>0.995</v>
      </c>
      <c r="AI280" s="9"/>
      <c r="AJ280" s="9"/>
      <c r="AK280" s="245"/>
      <c r="AL280" s="245"/>
      <c r="AM280" s="245"/>
      <c r="AN280" s="219"/>
      <c r="AO280" s="222"/>
      <c r="AP280" s="222"/>
      <c r="AQ280" s="222"/>
      <c r="AR280" s="223">
        <f>_xlfn.XLOOKUP(D280,'Modelling New'!$D:$D,'Modelling New'!$N:$N)</f>
        <v>130</v>
      </c>
      <c r="AS280" s="223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18">
        <f>Table13[[#This Row],[Date]]-DAY(Table13[[#This Row],[Date]])+1</f>
        <v>46023</v>
      </c>
      <c r="E281" s="9">
        <f t="shared" si="20"/>
        <v>31</v>
      </c>
      <c r="F281" s="188" t="str">
        <f>IFERROR(_xlfn.XLOOKUP($A281,Input_Raw!$A:$A,Input_Raw!$FC:$FC),"")</f>
        <v/>
      </c>
      <c r="G281" s="178" t="str">
        <f>IFERROR(_xlfn.XLOOKUP($A281,Input_Raw!$A:$A,Input_Raw!$CY:$CY),"")</f>
        <v/>
      </c>
      <c r="H281" s="178" t="str">
        <f>IFERROR(_xlfn.XLOOKUP($A281,Input_Raw!$A:$A,Input_Raw!$DA:$DA),"")</f>
        <v/>
      </c>
      <c r="I281" s="178" t="str">
        <f>IFERROR(_xlfn.XLOOKUP($A281,Input_Raw!$A:$A,Input_Raw!$CX:$CX),"")</f>
        <v/>
      </c>
      <c r="J281" s="178" t="str">
        <f>IFERROR(_xlfn.XLOOKUP($A281,Input_Raw!$A:$A,Input_Raw!$CZ:$CZ),"")</f>
        <v/>
      </c>
      <c r="K281" s="190" t="str">
        <f>IFERROR(_xlfn.XLOOKUP($A281,Input_Raw!$A:$A,Input_Raw!$DB:$DB),"")</f>
        <v/>
      </c>
      <c r="L281" s="190" t="str">
        <f>IFERROR(_xlfn.XLOOKUP($A281,Input_Raw!$A:$A,Input_Raw!$DC:$DC),"")</f>
        <v/>
      </c>
      <c r="M281" s="189" t="str">
        <f>IFERROR(_xlfn.XLOOKUP($A281,Input_Raw!$A:$A,Input_Raw!$DF:$DF),"")</f>
        <v/>
      </c>
      <c r="N281" s="189" t="str">
        <f>IFERROR(_xlfn.XLOOKUP($A281,Input_Raw!$A:$A,Input_Raw!$DG:$DG),"")</f>
        <v/>
      </c>
      <c r="O281" s="219" t="str">
        <f>IFERROR(1-(SUMIF(Plant_BD!$B:$B,$A281,Plant_BD!$AL:$AL)/($AA281+SUMIF(Plant_BD!$B:$B,$A281,Plant_BD!$AL:$AL))),"")</f>
        <v/>
      </c>
      <c r="P281" s="219"/>
      <c r="Q281" s="220" t="str">
        <f>IFERROR(1-(SUMIF(Grid_BD!$B:$B,$A281,Grid_BD!$V:$V)/($AA281+SUMIF(Grid_BD!$B:$B,$A281,Grid_BD!$V:$V))),"")</f>
        <v/>
      </c>
      <c r="R281" s="219" t="str">
        <f>IFERROR(1-(SUMIF(Grid_BD!$B:$B,$A281,Grid_BD!$V:$V)/($AA281+SUMIF(Grid_BD!$B:$B,$A281,Grid_BD!$V:$V))),"")</f>
        <v/>
      </c>
      <c r="S281" s="9"/>
      <c r="T281" s="220"/>
      <c r="U281" s="221" t="str">
        <f t="shared" si="21"/>
        <v/>
      </c>
      <c r="V281" s="221" t="str">
        <f>IFERROR(_xlfn.XLOOKUP($A281,Input_Raw!$A:$A,Input_Raw!$FG:$FG),"")</f>
        <v/>
      </c>
      <c r="W281" s="222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78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22">
        <f>IFERROR(_xlfn.XLOOKUP($D281,'Modelling New'!$D:$D,'Modelling New'!O:O),"")</f>
        <v>0.85614594057129279</v>
      </c>
      <c r="AF281" s="222">
        <f>IFERROR(_xlfn.XLOOKUP($D281,'Modelling New'!$D:$D,'Modelling New'!W:W),"")</f>
        <v>0.19677547827646649</v>
      </c>
      <c r="AG281" s="222">
        <f>IFERROR(_xlfn.XLOOKUP($D281,'Modelling New'!$D:$D,'Modelling New'!AE:AE),"")</f>
        <v>0.995</v>
      </c>
      <c r="AH281" s="222">
        <f>IFERROR(_xlfn.XLOOKUP($D281,'Modelling New'!$D:$D,'Modelling New'!AF:AF),"")</f>
        <v>0.995</v>
      </c>
      <c r="AI281" s="9"/>
      <c r="AJ281" s="9"/>
      <c r="AK281" s="245"/>
      <c r="AL281" s="245"/>
      <c r="AM281" s="245"/>
      <c r="AN281" s="219"/>
      <c r="AO281" s="222"/>
      <c r="AP281" s="222"/>
      <c r="AQ281" s="222"/>
      <c r="AR281" s="223">
        <f>_xlfn.XLOOKUP(D281,'Modelling New'!$D:$D,'Modelling New'!$N:$N)</f>
        <v>130</v>
      </c>
      <c r="AS281" s="223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18">
        <f>Table13[[#This Row],[Date]]-DAY(Table13[[#This Row],[Date]])+1</f>
        <v>46023</v>
      </c>
      <c r="E282" s="9">
        <f t="shared" si="20"/>
        <v>31</v>
      </c>
      <c r="F282" s="188" t="str">
        <f>IFERROR(_xlfn.XLOOKUP($A282,Input_Raw!$A:$A,Input_Raw!$FC:$FC),"")</f>
        <v/>
      </c>
      <c r="G282" s="189" t="str">
        <f>IFERROR(_xlfn.XLOOKUP($A282,Input_Raw!$A:$A,Input_Raw!$CY:$CY),"")</f>
        <v/>
      </c>
      <c r="H282" s="189" t="str">
        <f>IFERROR(_xlfn.XLOOKUP($A282,Input_Raw!$A:$A,Input_Raw!$DA:$DA),"")</f>
        <v/>
      </c>
      <c r="I282" s="189" t="str">
        <f>IFERROR(_xlfn.XLOOKUP($A282,Input_Raw!$A:$A,Input_Raw!$CX:$CX),"")</f>
        <v/>
      </c>
      <c r="J282" s="189" t="str">
        <f>IFERROR(_xlfn.XLOOKUP($A282,Input_Raw!$A:$A,Input_Raw!$CZ:$CZ),"")</f>
        <v/>
      </c>
      <c r="K282" s="190" t="str">
        <f>IFERROR(_xlfn.XLOOKUP($A282,Input_Raw!$A:$A,Input_Raw!$DB:$DB),"")</f>
        <v/>
      </c>
      <c r="L282" s="190" t="str">
        <f>IFERROR(_xlfn.XLOOKUP($A282,Input_Raw!$A:$A,Input_Raw!$DC:$DC),"")</f>
        <v/>
      </c>
      <c r="M282" s="189" t="str">
        <f>IFERROR(_xlfn.XLOOKUP($A282,Input_Raw!$A:$A,Input_Raw!$DF:$DF),"")</f>
        <v/>
      </c>
      <c r="N282" s="189" t="str">
        <f>IFERROR(_xlfn.XLOOKUP($A282,Input_Raw!$A:$A,Input_Raw!$DG:$DG),"")</f>
        <v/>
      </c>
      <c r="O282" s="219" t="str">
        <f>IFERROR(1-(SUMIF(Plant_BD!$B:$B,$A282,Plant_BD!$AL:$AL)/($AA282+SUMIF(Plant_BD!$B:$B,$A282,Plant_BD!$AL:$AL))),"")</f>
        <v/>
      </c>
      <c r="P282" s="219"/>
      <c r="Q282" s="220" t="str">
        <f>IFERROR(1-(SUMIF(Grid_BD!$B:$B,$A282,Grid_BD!$V:$V)/($AA282+SUMIF(Grid_BD!$B:$B,$A282,Grid_BD!$V:$V))),"")</f>
        <v/>
      </c>
      <c r="R282" s="219" t="str">
        <f>IFERROR(1-(SUMIF(Grid_BD!$B:$B,$A282,Grid_BD!$V:$V)/($AA282+SUMIF(Grid_BD!$B:$B,$A282,Grid_BD!$V:$V))),"")</f>
        <v/>
      </c>
      <c r="S282" s="9"/>
      <c r="T282" s="220"/>
      <c r="U282" s="221" t="str">
        <f t="shared" si="21"/>
        <v/>
      </c>
      <c r="V282" s="221" t="str">
        <f>IFERROR(_xlfn.XLOOKUP($A282,Input_Raw!$A:$A,Input_Raw!$FG:$FG),"")</f>
        <v/>
      </c>
      <c r="W282" s="222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78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22">
        <f>IFERROR(_xlfn.XLOOKUP($D282,'Modelling New'!$D:$D,'Modelling New'!O:O),"")</f>
        <v>0.85614594057129279</v>
      </c>
      <c r="AF282" s="222">
        <f>IFERROR(_xlfn.XLOOKUP($D282,'Modelling New'!$D:$D,'Modelling New'!W:W),"")</f>
        <v>0.19677547827646649</v>
      </c>
      <c r="AG282" s="222">
        <f>IFERROR(_xlfn.XLOOKUP($D282,'Modelling New'!$D:$D,'Modelling New'!AE:AE),"")</f>
        <v>0.995</v>
      </c>
      <c r="AH282" s="222">
        <f>IFERROR(_xlfn.XLOOKUP($D282,'Modelling New'!$D:$D,'Modelling New'!AF:AF),"")</f>
        <v>0.995</v>
      </c>
      <c r="AI282" s="9"/>
      <c r="AJ282" s="9"/>
      <c r="AK282" s="245"/>
      <c r="AL282" s="245"/>
      <c r="AM282" s="245"/>
      <c r="AN282" s="219"/>
      <c r="AO282" s="222"/>
      <c r="AP282" s="222"/>
      <c r="AQ282" s="222"/>
      <c r="AR282" s="223">
        <f>_xlfn.XLOOKUP(D282,'Modelling New'!$D:$D,'Modelling New'!$N:$N)</f>
        <v>130</v>
      </c>
      <c r="AS282" s="223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18">
        <f>Table13[[#This Row],[Date]]-DAY(Table13[[#This Row],[Date]])+1</f>
        <v>46023</v>
      </c>
      <c r="E283" s="9">
        <f t="shared" si="20"/>
        <v>31</v>
      </c>
      <c r="F283" s="188" t="str">
        <f>IFERROR(_xlfn.XLOOKUP($A283,Input_Raw!$A:$A,Input_Raw!$FC:$FC),"")</f>
        <v/>
      </c>
      <c r="G283" s="178" t="str">
        <f>IFERROR(_xlfn.XLOOKUP($A283,Input_Raw!$A:$A,Input_Raw!$CY:$CY),"")</f>
        <v/>
      </c>
      <c r="H283" s="178" t="str">
        <f>IFERROR(_xlfn.XLOOKUP($A283,Input_Raw!$A:$A,Input_Raw!$DA:$DA),"")</f>
        <v/>
      </c>
      <c r="I283" s="178" t="str">
        <f>IFERROR(_xlfn.XLOOKUP($A283,Input_Raw!$A:$A,Input_Raw!$CX:$CX),"")</f>
        <v/>
      </c>
      <c r="J283" s="178" t="str">
        <f>IFERROR(_xlfn.XLOOKUP($A283,Input_Raw!$A:$A,Input_Raw!$CZ:$CZ),"")</f>
        <v/>
      </c>
      <c r="K283" s="190" t="str">
        <f>IFERROR(_xlfn.XLOOKUP($A283,Input_Raw!$A:$A,Input_Raw!$DB:$DB),"")</f>
        <v/>
      </c>
      <c r="L283" s="190" t="str">
        <f>IFERROR(_xlfn.XLOOKUP($A283,Input_Raw!$A:$A,Input_Raw!$DC:$DC),"")</f>
        <v/>
      </c>
      <c r="M283" s="189" t="str">
        <f>IFERROR(_xlfn.XLOOKUP($A283,Input_Raw!$A:$A,Input_Raw!$DF:$DF),"")</f>
        <v/>
      </c>
      <c r="N283" s="189" t="str">
        <f>IFERROR(_xlfn.XLOOKUP($A283,Input_Raw!$A:$A,Input_Raw!$DG:$DG),"")</f>
        <v/>
      </c>
      <c r="O283" s="219" t="str">
        <f>IFERROR(1-(SUMIF(Plant_BD!$B:$B,$A283,Plant_BD!$AL:$AL)/($AA283+SUMIF(Plant_BD!$B:$B,$A283,Plant_BD!$AL:$AL))),"")</f>
        <v/>
      </c>
      <c r="P283" s="219"/>
      <c r="Q283" s="220" t="str">
        <f>IFERROR(1-(SUMIF(Grid_BD!$B:$B,$A283,Grid_BD!$V:$V)/($AA283+SUMIF(Grid_BD!$B:$B,$A283,Grid_BD!$V:$V))),"")</f>
        <v/>
      </c>
      <c r="R283" s="219" t="str">
        <f>IFERROR(1-(SUMIF(Grid_BD!$B:$B,$A283,Grid_BD!$V:$V)/($AA283+SUMIF(Grid_BD!$B:$B,$A283,Grid_BD!$V:$V))),"")</f>
        <v/>
      </c>
      <c r="S283" s="9"/>
      <c r="T283" s="220"/>
      <c r="U283" s="221" t="str">
        <f t="shared" si="21"/>
        <v/>
      </c>
      <c r="V283" s="221" t="str">
        <f>IFERROR(_xlfn.XLOOKUP($A283,Input_Raw!$A:$A,Input_Raw!$FG:$FG),"")</f>
        <v/>
      </c>
      <c r="W283" s="222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78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22">
        <f>IFERROR(_xlfn.XLOOKUP($D283,'Modelling New'!$D:$D,'Modelling New'!O:O),"")</f>
        <v>0.85614594057129279</v>
      </c>
      <c r="AF283" s="222">
        <f>IFERROR(_xlfn.XLOOKUP($D283,'Modelling New'!$D:$D,'Modelling New'!W:W),"")</f>
        <v>0.19677547827646649</v>
      </c>
      <c r="AG283" s="222">
        <f>IFERROR(_xlfn.XLOOKUP($D283,'Modelling New'!$D:$D,'Modelling New'!AE:AE),"")</f>
        <v>0.995</v>
      </c>
      <c r="AH283" s="222">
        <f>IFERROR(_xlfn.XLOOKUP($D283,'Modelling New'!$D:$D,'Modelling New'!AF:AF),"")</f>
        <v>0.995</v>
      </c>
      <c r="AI283" s="9"/>
      <c r="AJ283" s="9"/>
      <c r="AK283" s="245"/>
      <c r="AL283" s="245"/>
      <c r="AM283" s="245"/>
      <c r="AN283" s="219"/>
      <c r="AO283" s="222"/>
      <c r="AP283" s="222"/>
      <c r="AQ283" s="222"/>
      <c r="AR283" s="223">
        <f>_xlfn.XLOOKUP(D283,'Modelling New'!$D:$D,'Modelling New'!$N:$N)</f>
        <v>130</v>
      </c>
      <c r="AS283" s="223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18">
        <f>Table13[[#This Row],[Date]]-DAY(Table13[[#This Row],[Date]])+1</f>
        <v>46023</v>
      </c>
      <c r="E284" s="9">
        <f t="shared" si="20"/>
        <v>31</v>
      </c>
      <c r="F284" s="188" t="str">
        <f>IFERROR(_xlfn.XLOOKUP($A284,Input_Raw!$A:$A,Input_Raw!$FC:$FC),"")</f>
        <v/>
      </c>
      <c r="G284" s="189" t="str">
        <f>IFERROR(_xlfn.XLOOKUP($A284,Input_Raw!$A:$A,Input_Raw!$CY:$CY),"")</f>
        <v/>
      </c>
      <c r="H284" s="189" t="str">
        <f>IFERROR(_xlfn.XLOOKUP($A284,Input_Raw!$A:$A,Input_Raw!$DA:$DA),"")</f>
        <v/>
      </c>
      <c r="I284" s="189" t="str">
        <f>IFERROR(_xlfn.XLOOKUP($A284,Input_Raw!$A:$A,Input_Raw!$CX:$CX),"")</f>
        <v/>
      </c>
      <c r="J284" s="189" t="str">
        <f>IFERROR(_xlfn.XLOOKUP($A284,Input_Raw!$A:$A,Input_Raw!$CZ:$CZ),"")</f>
        <v/>
      </c>
      <c r="K284" s="190" t="str">
        <f>IFERROR(_xlfn.XLOOKUP($A284,Input_Raw!$A:$A,Input_Raw!$DB:$DB),"")</f>
        <v/>
      </c>
      <c r="L284" s="190" t="str">
        <f>IFERROR(_xlfn.XLOOKUP($A284,Input_Raw!$A:$A,Input_Raw!$DC:$DC),"")</f>
        <v/>
      </c>
      <c r="M284" s="189" t="str">
        <f>IFERROR(_xlfn.XLOOKUP($A284,Input_Raw!$A:$A,Input_Raw!$DF:$DF),"")</f>
        <v/>
      </c>
      <c r="N284" s="189" t="str">
        <f>IFERROR(_xlfn.XLOOKUP($A284,Input_Raw!$A:$A,Input_Raw!$DG:$DG),"")</f>
        <v/>
      </c>
      <c r="O284" s="219" t="str">
        <f>IFERROR(1-(SUMIF(Plant_BD!$B:$B,$A284,Plant_BD!$AL:$AL)/($AA284+SUMIF(Plant_BD!$B:$B,$A284,Plant_BD!$AL:$AL))),"")</f>
        <v/>
      </c>
      <c r="P284" s="219"/>
      <c r="Q284" s="220" t="str">
        <f>IFERROR(1-(SUMIF(Grid_BD!$B:$B,$A284,Grid_BD!$V:$V)/($AA284+SUMIF(Grid_BD!$B:$B,$A284,Grid_BD!$V:$V))),"")</f>
        <v/>
      </c>
      <c r="R284" s="219" t="str">
        <f>IFERROR(1-(SUMIF(Grid_BD!$B:$B,$A284,Grid_BD!$V:$V)/($AA284+SUMIF(Grid_BD!$B:$B,$A284,Grid_BD!$V:$V))),"")</f>
        <v/>
      </c>
      <c r="S284" s="9"/>
      <c r="T284" s="220"/>
      <c r="U284" s="221" t="str">
        <f t="shared" si="21"/>
        <v/>
      </c>
      <c r="V284" s="221" t="str">
        <f>IFERROR(_xlfn.XLOOKUP($A284,Input_Raw!$A:$A,Input_Raw!$FG:$FG),"")</f>
        <v/>
      </c>
      <c r="W284" s="222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78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22">
        <f>IFERROR(_xlfn.XLOOKUP($D284,'Modelling New'!$D:$D,'Modelling New'!O:O),"")</f>
        <v>0.85614594057129279</v>
      </c>
      <c r="AF284" s="222">
        <f>IFERROR(_xlfn.XLOOKUP($D284,'Modelling New'!$D:$D,'Modelling New'!W:W),"")</f>
        <v>0.19677547827646649</v>
      </c>
      <c r="AG284" s="222">
        <f>IFERROR(_xlfn.XLOOKUP($D284,'Modelling New'!$D:$D,'Modelling New'!AE:AE),"")</f>
        <v>0.995</v>
      </c>
      <c r="AH284" s="222">
        <f>IFERROR(_xlfn.XLOOKUP($D284,'Modelling New'!$D:$D,'Modelling New'!AF:AF),"")</f>
        <v>0.995</v>
      </c>
      <c r="AI284" s="9"/>
      <c r="AJ284" s="9"/>
      <c r="AK284" s="245"/>
      <c r="AL284" s="245"/>
      <c r="AM284" s="245"/>
      <c r="AN284" s="219"/>
      <c r="AO284" s="222"/>
      <c r="AP284" s="222"/>
      <c r="AQ284" s="222"/>
      <c r="AR284" s="223">
        <f>_xlfn.XLOOKUP(D284,'Modelling New'!$D:$D,'Modelling New'!$N:$N)</f>
        <v>130</v>
      </c>
      <c r="AS284" s="223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18">
        <f>Table13[[#This Row],[Date]]-DAY(Table13[[#This Row],[Date]])+1</f>
        <v>46023</v>
      </c>
      <c r="E285" s="9">
        <f t="shared" si="20"/>
        <v>31</v>
      </c>
      <c r="F285" s="188" t="str">
        <f>IFERROR(_xlfn.XLOOKUP($A285,Input_Raw!$A:$A,Input_Raw!$FC:$FC),"")</f>
        <v/>
      </c>
      <c r="G285" s="178" t="str">
        <f>IFERROR(_xlfn.XLOOKUP($A285,Input_Raw!$A:$A,Input_Raw!$CY:$CY),"")</f>
        <v/>
      </c>
      <c r="H285" s="178" t="str">
        <f>IFERROR(_xlfn.XLOOKUP($A285,Input_Raw!$A:$A,Input_Raw!$DA:$DA),"")</f>
        <v/>
      </c>
      <c r="I285" s="178" t="str">
        <f>IFERROR(_xlfn.XLOOKUP($A285,Input_Raw!$A:$A,Input_Raw!$CX:$CX),"")</f>
        <v/>
      </c>
      <c r="J285" s="178" t="str">
        <f>IFERROR(_xlfn.XLOOKUP($A285,Input_Raw!$A:$A,Input_Raw!$CZ:$CZ),"")</f>
        <v/>
      </c>
      <c r="K285" s="190" t="str">
        <f>IFERROR(_xlfn.XLOOKUP($A285,Input_Raw!$A:$A,Input_Raw!$DB:$DB),"")</f>
        <v/>
      </c>
      <c r="L285" s="190" t="str">
        <f>IFERROR(_xlfn.XLOOKUP($A285,Input_Raw!$A:$A,Input_Raw!$DC:$DC),"")</f>
        <v/>
      </c>
      <c r="M285" s="189" t="str">
        <f>IFERROR(_xlfn.XLOOKUP($A285,Input_Raw!$A:$A,Input_Raw!$DF:$DF),"")</f>
        <v/>
      </c>
      <c r="N285" s="189" t="str">
        <f>IFERROR(_xlfn.XLOOKUP($A285,Input_Raw!$A:$A,Input_Raw!$DG:$DG),"")</f>
        <v/>
      </c>
      <c r="O285" s="219" t="str">
        <f>IFERROR(1-(SUMIF(Plant_BD!$B:$B,$A285,Plant_BD!$AL:$AL)/($AA285+SUMIF(Plant_BD!$B:$B,$A285,Plant_BD!$AL:$AL))),"")</f>
        <v/>
      </c>
      <c r="P285" s="219"/>
      <c r="Q285" s="220" t="str">
        <f>IFERROR(1-(SUMIF(Grid_BD!$B:$B,$A285,Grid_BD!$V:$V)/($AA285+SUMIF(Grid_BD!$B:$B,$A285,Grid_BD!$V:$V))),"")</f>
        <v/>
      </c>
      <c r="R285" s="219" t="str">
        <f>IFERROR(1-(SUMIF(Grid_BD!$B:$B,$A285,Grid_BD!$V:$V)/($AA285+SUMIF(Grid_BD!$B:$B,$A285,Grid_BD!$V:$V))),"")</f>
        <v/>
      </c>
      <c r="S285" s="9"/>
      <c r="T285" s="220"/>
      <c r="U285" s="221" t="str">
        <f t="shared" si="21"/>
        <v/>
      </c>
      <c r="V285" s="221" t="str">
        <f>IFERROR(_xlfn.XLOOKUP($A285,Input_Raw!$A:$A,Input_Raw!$FG:$FG),"")</f>
        <v/>
      </c>
      <c r="W285" s="222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78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22">
        <f>IFERROR(_xlfn.XLOOKUP($D285,'Modelling New'!$D:$D,'Modelling New'!O:O),"")</f>
        <v>0.85614594057129279</v>
      </c>
      <c r="AF285" s="222">
        <f>IFERROR(_xlfn.XLOOKUP($D285,'Modelling New'!$D:$D,'Modelling New'!W:W),"")</f>
        <v>0.19677547827646649</v>
      </c>
      <c r="AG285" s="222">
        <f>IFERROR(_xlfn.XLOOKUP($D285,'Modelling New'!$D:$D,'Modelling New'!AE:AE),"")</f>
        <v>0.995</v>
      </c>
      <c r="AH285" s="222">
        <f>IFERROR(_xlfn.XLOOKUP($D285,'Modelling New'!$D:$D,'Modelling New'!AF:AF),"")</f>
        <v>0.995</v>
      </c>
      <c r="AI285" s="9"/>
      <c r="AJ285" s="9"/>
      <c r="AK285" s="245"/>
      <c r="AL285" s="245"/>
      <c r="AM285" s="245"/>
      <c r="AN285" s="219"/>
      <c r="AO285" s="222"/>
      <c r="AP285" s="222"/>
      <c r="AQ285" s="222"/>
      <c r="AR285" s="223">
        <f>_xlfn.XLOOKUP(D285,'Modelling New'!$D:$D,'Modelling New'!$N:$N)</f>
        <v>130</v>
      </c>
      <c r="AS285" s="223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18">
        <f>Table13[[#This Row],[Date]]-DAY(Table13[[#This Row],[Date]])+1</f>
        <v>46023</v>
      </c>
      <c r="E286" s="9">
        <f t="shared" si="20"/>
        <v>31</v>
      </c>
      <c r="F286" s="188" t="str">
        <f>IFERROR(_xlfn.XLOOKUP($A286,Input_Raw!$A:$A,Input_Raw!$FC:$FC),"")</f>
        <v/>
      </c>
      <c r="G286" s="189" t="str">
        <f>IFERROR(_xlfn.XLOOKUP($A286,Input_Raw!$A:$A,Input_Raw!$CY:$CY),"")</f>
        <v/>
      </c>
      <c r="H286" s="189" t="str">
        <f>IFERROR(_xlfn.XLOOKUP($A286,Input_Raw!$A:$A,Input_Raw!$DA:$DA),"")</f>
        <v/>
      </c>
      <c r="I286" s="189" t="str">
        <f>IFERROR(_xlfn.XLOOKUP($A286,Input_Raw!$A:$A,Input_Raw!$CX:$CX),"")</f>
        <v/>
      </c>
      <c r="J286" s="189" t="str">
        <f>IFERROR(_xlfn.XLOOKUP($A286,Input_Raw!$A:$A,Input_Raw!$CZ:$CZ),"")</f>
        <v/>
      </c>
      <c r="K286" s="190" t="str">
        <f>IFERROR(_xlfn.XLOOKUP($A286,Input_Raw!$A:$A,Input_Raw!$DB:$DB),"")</f>
        <v/>
      </c>
      <c r="L286" s="190" t="str">
        <f>IFERROR(_xlfn.XLOOKUP($A286,Input_Raw!$A:$A,Input_Raw!$DC:$DC),"")</f>
        <v/>
      </c>
      <c r="M286" s="189" t="str">
        <f>IFERROR(_xlfn.XLOOKUP($A286,Input_Raw!$A:$A,Input_Raw!$DF:$DF),"")</f>
        <v/>
      </c>
      <c r="N286" s="189" t="str">
        <f>IFERROR(_xlfn.XLOOKUP($A286,Input_Raw!$A:$A,Input_Raw!$DG:$DG),"")</f>
        <v/>
      </c>
      <c r="O286" s="219" t="str">
        <f>IFERROR(1-(SUMIF(Plant_BD!$B:$B,$A286,Plant_BD!$AL:$AL)/($AA286+SUMIF(Plant_BD!$B:$B,$A286,Plant_BD!$AL:$AL))),"")</f>
        <v/>
      </c>
      <c r="P286" s="219"/>
      <c r="Q286" s="220" t="str">
        <f>IFERROR(1-(SUMIF(Grid_BD!$B:$B,$A286,Grid_BD!$V:$V)/($AA286+SUMIF(Grid_BD!$B:$B,$A286,Grid_BD!$V:$V))),"")</f>
        <v/>
      </c>
      <c r="R286" s="219" t="str">
        <f>IFERROR(1-(SUMIF(Grid_BD!$B:$B,$A286,Grid_BD!$V:$V)/($AA286+SUMIF(Grid_BD!$B:$B,$A286,Grid_BD!$V:$V))),"")</f>
        <v/>
      </c>
      <c r="S286" s="9"/>
      <c r="T286" s="220"/>
      <c r="U286" s="221" t="str">
        <f t="shared" si="21"/>
        <v/>
      </c>
      <c r="V286" s="221" t="str">
        <f>IFERROR(_xlfn.XLOOKUP($A286,Input_Raw!$A:$A,Input_Raw!$FG:$FG),"")</f>
        <v/>
      </c>
      <c r="W286" s="222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78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22">
        <f>IFERROR(_xlfn.XLOOKUP($D286,'Modelling New'!$D:$D,'Modelling New'!O:O),"")</f>
        <v>0.85614594057129279</v>
      </c>
      <c r="AF286" s="222">
        <f>IFERROR(_xlfn.XLOOKUP($D286,'Modelling New'!$D:$D,'Modelling New'!W:W),"")</f>
        <v>0.19677547827646649</v>
      </c>
      <c r="AG286" s="222">
        <f>IFERROR(_xlfn.XLOOKUP($D286,'Modelling New'!$D:$D,'Modelling New'!AE:AE),"")</f>
        <v>0.995</v>
      </c>
      <c r="AH286" s="222">
        <f>IFERROR(_xlfn.XLOOKUP($D286,'Modelling New'!$D:$D,'Modelling New'!AF:AF),"")</f>
        <v>0.995</v>
      </c>
      <c r="AI286" s="9"/>
      <c r="AJ286" s="9"/>
      <c r="AK286" s="245"/>
      <c r="AL286" s="245"/>
      <c r="AM286" s="245"/>
      <c r="AN286" s="219"/>
      <c r="AO286" s="222"/>
      <c r="AP286" s="222"/>
      <c r="AQ286" s="222"/>
      <c r="AR286" s="223">
        <f>_xlfn.XLOOKUP(D286,'Modelling New'!$D:$D,'Modelling New'!$N:$N)</f>
        <v>130</v>
      </c>
      <c r="AS286" s="223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18">
        <f>Table13[[#This Row],[Date]]-DAY(Table13[[#This Row],[Date]])+1</f>
        <v>46023</v>
      </c>
      <c r="E287" s="9">
        <f t="shared" si="20"/>
        <v>31</v>
      </c>
      <c r="F287" s="188" t="str">
        <f>IFERROR(_xlfn.XLOOKUP($A287,Input_Raw!$A:$A,Input_Raw!$FC:$FC),"")</f>
        <v/>
      </c>
      <c r="G287" s="178" t="str">
        <f>IFERROR(_xlfn.XLOOKUP($A287,Input_Raw!$A:$A,Input_Raw!$CY:$CY),"")</f>
        <v/>
      </c>
      <c r="H287" s="178" t="str">
        <f>IFERROR(_xlfn.XLOOKUP($A287,Input_Raw!$A:$A,Input_Raw!$DA:$DA),"")</f>
        <v/>
      </c>
      <c r="I287" s="178" t="str">
        <f>IFERROR(_xlfn.XLOOKUP($A287,Input_Raw!$A:$A,Input_Raw!$CX:$CX),"")</f>
        <v/>
      </c>
      <c r="J287" s="178" t="str">
        <f>IFERROR(_xlfn.XLOOKUP($A287,Input_Raw!$A:$A,Input_Raw!$CZ:$CZ),"")</f>
        <v/>
      </c>
      <c r="K287" s="190" t="str">
        <f>IFERROR(_xlfn.XLOOKUP($A287,Input_Raw!$A:$A,Input_Raw!$DB:$DB),"")</f>
        <v/>
      </c>
      <c r="L287" s="190" t="str">
        <f>IFERROR(_xlfn.XLOOKUP($A287,Input_Raw!$A:$A,Input_Raw!$DC:$DC),"")</f>
        <v/>
      </c>
      <c r="M287" s="189" t="str">
        <f>IFERROR(_xlfn.XLOOKUP($A287,Input_Raw!$A:$A,Input_Raw!$DF:$DF),"")</f>
        <v/>
      </c>
      <c r="N287" s="189" t="str">
        <f>IFERROR(_xlfn.XLOOKUP($A287,Input_Raw!$A:$A,Input_Raw!$DG:$DG),"")</f>
        <v/>
      </c>
      <c r="O287" s="219" t="str">
        <f>IFERROR(1-(SUMIF(Plant_BD!$B:$B,$A287,Plant_BD!$AL:$AL)/($AA287+SUMIF(Plant_BD!$B:$B,$A287,Plant_BD!$AL:$AL))),"")</f>
        <v/>
      </c>
      <c r="P287" s="219"/>
      <c r="Q287" s="220" t="str">
        <f>IFERROR(1-(SUMIF(Grid_BD!$B:$B,$A287,Grid_BD!$V:$V)/($AA287+SUMIF(Grid_BD!$B:$B,$A287,Grid_BD!$V:$V))),"")</f>
        <v/>
      </c>
      <c r="R287" s="219" t="str">
        <f>IFERROR(1-(SUMIF(Grid_BD!$B:$B,$A287,Grid_BD!$V:$V)/($AA287+SUMIF(Grid_BD!$B:$B,$A287,Grid_BD!$V:$V))),"")</f>
        <v/>
      </c>
      <c r="S287" s="9"/>
      <c r="T287" s="220"/>
      <c r="U287" s="221" t="str">
        <f t="shared" si="21"/>
        <v/>
      </c>
      <c r="V287" s="221" t="str">
        <f>IFERROR(_xlfn.XLOOKUP($A287,Input_Raw!$A:$A,Input_Raw!$FG:$FG),"")</f>
        <v/>
      </c>
      <c r="W287" s="222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78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22">
        <f>IFERROR(_xlfn.XLOOKUP($D287,'Modelling New'!$D:$D,'Modelling New'!O:O),"")</f>
        <v>0.85614594057129279</v>
      </c>
      <c r="AF287" s="222">
        <f>IFERROR(_xlfn.XLOOKUP($D287,'Modelling New'!$D:$D,'Modelling New'!W:W),"")</f>
        <v>0.19677547827646649</v>
      </c>
      <c r="AG287" s="222">
        <f>IFERROR(_xlfn.XLOOKUP($D287,'Modelling New'!$D:$D,'Modelling New'!AE:AE),"")</f>
        <v>0.995</v>
      </c>
      <c r="AH287" s="222">
        <f>IFERROR(_xlfn.XLOOKUP($D287,'Modelling New'!$D:$D,'Modelling New'!AF:AF),"")</f>
        <v>0.995</v>
      </c>
      <c r="AI287" s="9"/>
      <c r="AJ287" s="9"/>
      <c r="AK287" s="245"/>
      <c r="AL287" s="245"/>
      <c r="AM287" s="245"/>
      <c r="AN287" s="219"/>
      <c r="AO287" s="222"/>
      <c r="AP287" s="222"/>
      <c r="AQ287" s="222"/>
      <c r="AR287" s="223">
        <f>_xlfn.XLOOKUP(D287,'Modelling New'!$D:$D,'Modelling New'!$N:$N)</f>
        <v>130</v>
      </c>
      <c r="AS287" s="223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18">
        <f>Table13[[#This Row],[Date]]-DAY(Table13[[#This Row],[Date]])+1</f>
        <v>46023</v>
      </c>
      <c r="E288" s="9">
        <f t="shared" si="20"/>
        <v>31</v>
      </c>
      <c r="F288" s="188" t="str">
        <f>IFERROR(_xlfn.XLOOKUP($A288,Input_Raw!$A:$A,Input_Raw!$FC:$FC),"")</f>
        <v/>
      </c>
      <c r="G288" s="189" t="str">
        <f>IFERROR(_xlfn.XLOOKUP($A288,Input_Raw!$A:$A,Input_Raw!$CY:$CY),"")</f>
        <v/>
      </c>
      <c r="H288" s="189" t="str">
        <f>IFERROR(_xlfn.XLOOKUP($A288,Input_Raw!$A:$A,Input_Raw!$DA:$DA),"")</f>
        <v/>
      </c>
      <c r="I288" s="189" t="str">
        <f>IFERROR(_xlfn.XLOOKUP($A288,Input_Raw!$A:$A,Input_Raw!$CX:$CX),"")</f>
        <v/>
      </c>
      <c r="J288" s="189" t="str">
        <f>IFERROR(_xlfn.XLOOKUP($A288,Input_Raw!$A:$A,Input_Raw!$CZ:$CZ),"")</f>
        <v/>
      </c>
      <c r="K288" s="190" t="str">
        <f>IFERROR(_xlfn.XLOOKUP($A288,Input_Raw!$A:$A,Input_Raw!$DB:$DB),"")</f>
        <v/>
      </c>
      <c r="L288" s="190" t="str">
        <f>IFERROR(_xlfn.XLOOKUP($A288,Input_Raw!$A:$A,Input_Raw!$DC:$DC),"")</f>
        <v/>
      </c>
      <c r="M288" s="189" t="str">
        <f>IFERROR(_xlfn.XLOOKUP($A288,Input_Raw!$A:$A,Input_Raw!$DF:$DF),"")</f>
        <v/>
      </c>
      <c r="N288" s="189" t="str">
        <f>IFERROR(_xlfn.XLOOKUP($A288,Input_Raw!$A:$A,Input_Raw!$DG:$DG),"")</f>
        <v/>
      </c>
      <c r="O288" s="219" t="str">
        <f>IFERROR(1-(SUMIF(Plant_BD!$B:$B,$A288,Plant_BD!$AL:$AL)/($AA288+SUMIF(Plant_BD!$B:$B,$A288,Plant_BD!$AL:$AL))),"")</f>
        <v/>
      </c>
      <c r="P288" s="219"/>
      <c r="Q288" s="220" t="str">
        <f>IFERROR(1-(SUMIF(Grid_BD!$B:$B,$A288,Grid_BD!$V:$V)/($AA288+SUMIF(Grid_BD!$B:$B,$A288,Grid_BD!$V:$V))),"")</f>
        <v/>
      </c>
      <c r="R288" s="219" t="str">
        <f>IFERROR(1-(SUMIF(Grid_BD!$B:$B,$A288,Grid_BD!$V:$V)/($AA288+SUMIF(Grid_BD!$B:$B,$A288,Grid_BD!$V:$V))),"")</f>
        <v/>
      </c>
      <c r="S288" s="9"/>
      <c r="T288" s="220"/>
      <c r="U288" s="221" t="str">
        <f t="shared" si="21"/>
        <v/>
      </c>
      <c r="V288" s="221" t="str">
        <f>IFERROR(_xlfn.XLOOKUP($A288,Input_Raw!$A:$A,Input_Raw!$FG:$FG),"")</f>
        <v/>
      </c>
      <c r="W288" s="222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78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22">
        <f>IFERROR(_xlfn.XLOOKUP($D288,'Modelling New'!$D:$D,'Modelling New'!O:O),"")</f>
        <v>0.85614594057129279</v>
      </c>
      <c r="AF288" s="222">
        <f>IFERROR(_xlfn.XLOOKUP($D288,'Modelling New'!$D:$D,'Modelling New'!W:W),"")</f>
        <v>0.19677547827646649</v>
      </c>
      <c r="AG288" s="222">
        <f>IFERROR(_xlfn.XLOOKUP($D288,'Modelling New'!$D:$D,'Modelling New'!AE:AE),"")</f>
        <v>0.995</v>
      </c>
      <c r="AH288" s="222">
        <f>IFERROR(_xlfn.XLOOKUP($D288,'Modelling New'!$D:$D,'Modelling New'!AF:AF),"")</f>
        <v>0.995</v>
      </c>
      <c r="AI288" s="9"/>
      <c r="AJ288" s="9"/>
      <c r="AK288" s="245"/>
      <c r="AL288" s="245"/>
      <c r="AM288" s="245"/>
      <c r="AN288" s="219"/>
      <c r="AO288" s="222"/>
      <c r="AP288" s="222"/>
      <c r="AQ288" s="222"/>
      <c r="AR288" s="223">
        <f>_xlfn.XLOOKUP(D288,'Modelling New'!$D:$D,'Modelling New'!$N:$N)</f>
        <v>130</v>
      </c>
      <c r="AS288" s="223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18">
        <f>Table13[[#This Row],[Date]]-DAY(Table13[[#This Row],[Date]])+1</f>
        <v>46023</v>
      </c>
      <c r="E289" s="9">
        <f t="shared" si="20"/>
        <v>31</v>
      </c>
      <c r="F289" s="188" t="str">
        <f>IFERROR(_xlfn.XLOOKUP($A289,Input_Raw!$A:$A,Input_Raw!$FC:$FC),"")</f>
        <v/>
      </c>
      <c r="G289" s="178" t="str">
        <f>IFERROR(_xlfn.XLOOKUP($A289,Input_Raw!$A:$A,Input_Raw!$CY:$CY),"")</f>
        <v/>
      </c>
      <c r="H289" s="178" t="str">
        <f>IFERROR(_xlfn.XLOOKUP($A289,Input_Raw!$A:$A,Input_Raw!$DA:$DA),"")</f>
        <v/>
      </c>
      <c r="I289" s="178" t="str">
        <f>IFERROR(_xlfn.XLOOKUP($A289,Input_Raw!$A:$A,Input_Raw!$CX:$CX),"")</f>
        <v/>
      </c>
      <c r="J289" s="178" t="str">
        <f>IFERROR(_xlfn.XLOOKUP($A289,Input_Raw!$A:$A,Input_Raw!$CZ:$CZ),"")</f>
        <v/>
      </c>
      <c r="K289" s="190" t="str">
        <f>IFERROR(_xlfn.XLOOKUP($A289,Input_Raw!$A:$A,Input_Raw!$DB:$DB),"")</f>
        <v/>
      </c>
      <c r="L289" s="190" t="str">
        <f>IFERROR(_xlfn.XLOOKUP($A289,Input_Raw!$A:$A,Input_Raw!$DC:$DC),"")</f>
        <v/>
      </c>
      <c r="M289" s="189" t="str">
        <f>IFERROR(_xlfn.XLOOKUP($A289,Input_Raw!$A:$A,Input_Raw!$DF:$DF),"")</f>
        <v/>
      </c>
      <c r="N289" s="189" t="str">
        <f>IFERROR(_xlfn.XLOOKUP($A289,Input_Raw!$A:$A,Input_Raw!$DG:$DG),"")</f>
        <v/>
      </c>
      <c r="O289" s="219" t="str">
        <f>IFERROR(1-(SUMIF(Plant_BD!$B:$B,$A289,Plant_BD!$AL:$AL)/($AA289+SUMIF(Plant_BD!$B:$B,$A289,Plant_BD!$AL:$AL))),"")</f>
        <v/>
      </c>
      <c r="P289" s="219"/>
      <c r="Q289" s="220" t="str">
        <f>IFERROR(1-(SUMIF(Grid_BD!$B:$B,$A289,Grid_BD!$V:$V)/($AA289+SUMIF(Grid_BD!$B:$B,$A289,Grid_BD!$V:$V))),"")</f>
        <v/>
      </c>
      <c r="R289" s="219" t="str">
        <f>IFERROR(1-(SUMIF(Grid_BD!$B:$B,$A289,Grid_BD!$V:$V)/($AA289+SUMIF(Grid_BD!$B:$B,$A289,Grid_BD!$V:$V))),"")</f>
        <v/>
      </c>
      <c r="S289" s="9"/>
      <c r="T289" s="220"/>
      <c r="U289" s="221" t="str">
        <f t="shared" si="21"/>
        <v/>
      </c>
      <c r="V289" s="221" t="str">
        <f>IFERROR(_xlfn.XLOOKUP($A289,Input_Raw!$A:$A,Input_Raw!$FG:$FG),"")</f>
        <v/>
      </c>
      <c r="W289" s="222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78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22">
        <f>IFERROR(_xlfn.XLOOKUP($D289,'Modelling New'!$D:$D,'Modelling New'!O:O),"")</f>
        <v>0.85614594057129279</v>
      </c>
      <c r="AF289" s="222">
        <f>IFERROR(_xlfn.XLOOKUP($D289,'Modelling New'!$D:$D,'Modelling New'!W:W),"")</f>
        <v>0.19677547827646649</v>
      </c>
      <c r="AG289" s="222">
        <f>IFERROR(_xlfn.XLOOKUP($D289,'Modelling New'!$D:$D,'Modelling New'!AE:AE),"")</f>
        <v>0.995</v>
      </c>
      <c r="AH289" s="222">
        <f>IFERROR(_xlfn.XLOOKUP($D289,'Modelling New'!$D:$D,'Modelling New'!AF:AF),"")</f>
        <v>0.995</v>
      </c>
      <c r="AI289" s="9"/>
      <c r="AJ289" s="9"/>
      <c r="AK289" s="245"/>
      <c r="AL289" s="245"/>
      <c r="AM289" s="245"/>
      <c r="AN289" s="219"/>
      <c r="AO289" s="222"/>
      <c r="AP289" s="222"/>
      <c r="AQ289" s="222"/>
      <c r="AR289" s="223">
        <f>_xlfn.XLOOKUP(D289,'Modelling New'!$D:$D,'Modelling New'!$N:$N)</f>
        <v>130</v>
      </c>
      <c r="AS289" s="223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18">
        <f>Table13[[#This Row],[Date]]-DAY(Table13[[#This Row],[Date]])+1</f>
        <v>46023</v>
      </c>
      <c r="E290" s="9">
        <f t="shared" si="20"/>
        <v>31</v>
      </c>
      <c r="F290" s="188" t="str">
        <f>IFERROR(_xlfn.XLOOKUP($A290,Input_Raw!$A:$A,Input_Raw!$FC:$FC),"")</f>
        <v/>
      </c>
      <c r="G290" s="189" t="str">
        <f>IFERROR(_xlfn.XLOOKUP($A290,Input_Raw!$A:$A,Input_Raw!$CY:$CY),"")</f>
        <v/>
      </c>
      <c r="H290" s="189" t="str">
        <f>IFERROR(_xlfn.XLOOKUP($A290,Input_Raw!$A:$A,Input_Raw!$DA:$DA),"")</f>
        <v/>
      </c>
      <c r="I290" s="189" t="str">
        <f>IFERROR(_xlfn.XLOOKUP($A290,Input_Raw!$A:$A,Input_Raw!$CX:$CX),"")</f>
        <v/>
      </c>
      <c r="J290" s="189" t="str">
        <f>IFERROR(_xlfn.XLOOKUP($A290,Input_Raw!$A:$A,Input_Raw!$CZ:$CZ),"")</f>
        <v/>
      </c>
      <c r="K290" s="190" t="str">
        <f>IFERROR(_xlfn.XLOOKUP($A290,Input_Raw!$A:$A,Input_Raw!$DB:$DB),"")</f>
        <v/>
      </c>
      <c r="L290" s="190" t="str">
        <f>IFERROR(_xlfn.XLOOKUP($A290,Input_Raw!$A:$A,Input_Raw!$DC:$DC),"")</f>
        <v/>
      </c>
      <c r="M290" s="189" t="str">
        <f>IFERROR(_xlfn.XLOOKUP($A290,Input_Raw!$A:$A,Input_Raw!$DF:$DF),"")</f>
        <v/>
      </c>
      <c r="N290" s="189" t="str">
        <f>IFERROR(_xlfn.XLOOKUP($A290,Input_Raw!$A:$A,Input_Raw!$DG:$DG),"")</f>
        <v/>
      </c>
      <c r="O290" s="219" t="str">
        <f>IFERROR(1-(SUMIF(Plant_BD!$B:$B,$A290,Plant_BD!$AL:$AL)/($AA290+SUMIF(Plant_BD!$B:$B,$A290,Plant_BD!$AL:$AL))),"")</f>
        <v/>
      </c>
      <c r="P290" s="219"/>
      <c r="Q290" s="220" t="str">
        <f>IFERROR(1-(SUMIF(Grid_BD!$B:$B,$A290,Grid_BD!$V:$V)/($AA290+SUMIF(Grid_BD!$B:$B,$A290,Grid_BD!$V:$V))),"")</f>
        <v/>
      </c>
      <c r="R290" s="219" t="str">
        <f>IFERROR(1-(SUMIF(Grid_BD!$B:$B,$A290,Grid_BD!$V:$V)/($AA290+SUMIF(Grid_BD!$B:$B,$A290,Grid_BD!$V:$V))),"")</f>
        <v/>
      </c>
      <c r="S290" s="9"/>
      <c r="T290" s="220"/>
      <c r="U290" s="221" t="str">
        <f t="shared" si="21"/>
        <v/>
      </c>
      <c r="V290" s="221" t="str">
        <f>IFERROR(_xlfn.XLOOKUP($A290,Input_Raw!$A:$A,Input_Raw!$FG:$FG),"")</f>
        <v/>
      </c>
      <c r="W290" s="222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78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22">
        <f>IFERROR(_xlfn.XLOOKUP($D290,'Modelling New'!$D:$D,'Modelling New'!O:O),"")</f>
        <v>0.85614594057129279</v>
      </c>
      <c r="AF290" s="222">
        <f>IFERROR(_xlfn.XLOOKUP($D290,'Modelling New'!$D:$D,'Modelling New'!W:W),"")</f>
        <v>0.19677547827646649</v>
      </c>
      <c r="AG290" s="222">
        <f>IFERROR(_xlfn.XLOOKUP($D290,'Modelling New'!$D:$D,'Modelling New'!AE:AE),"")</f>
        <v>0.995</v>
      </c>
      <c r="AH290" s="222">
        <f>IFERROR(_xlfn.XLOOKUP($D290,'Modelling New'!$D:$D,'Modelling New'!AF:AF),"")</f>
        <v>0.995</v>
      </c>
      <c r="AI290" s="9"/>
      <c r="AJ290" s="9"/>
      <c r="AK290" s="245"/>
      <c r="AL290" s="245"/>
      <c r="AM290" s="245"/>
      <c r="AN290" s="219"/>
      <c r="AO290" s="222"/>
      <c r="AP290" s="222"/>
      <c r="AQ290" s="222"/>
      <c r="AR290" s="223">
        <f>_xlfn.XLOOKUP(D290,'Modelling New'!$D:$D,'Modelling New'!$N:$N)</f>
        <v>130</v>
      </c>
      <c r="AS290" s="223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18">
        <f>Table13[[#This Row],[Date]]-DAY(Table13[[#This Row],[Date]])+1</f>
        <v>46023</v>
      </c>
      <c r="E291" s="9">
        <f t="shared" si="20"/>
        <v>31</v>
      </c>
      <c r="F291" s="188" t="str">
        <f>IFERROR(_xlfn.XLOOKUP($A291,Input_Raw!$A:$A,Input_Raw!$FC:$FC),"")</f>
        <v/>
      </c>
      <c r="G291" s="178" t="str">
        <f>IFERROR(_xlfn.XLOOKUP($A291,Input_Raw!$A:$A,Input_Raw!$CY:$CY),"")</f>
        <v/>
      </c>
      <c r="H291" s="178" t="str">
        <f>IFERROR(_xlfn.XLOOKUP($A291,Input_Raw!$A:$A,Input_Raw!$DA:$DA),"")</f>
        <v/>
      </c>
      <c r="I291" s="178" t="str">
        <f>IFERROR(_xlfn.XLOOKUP($A291,Input_Raw!$A:$A,Input_Raw!$CX:$CX),"")</f>
        <v/>
      </c>
      <c r="J291" s="178" t="str">
        <f>IFERROR(_xlfn.XLOOKUP($A291,Input_Raw!$A:$A,Input_Raw!$CZ:$CZ),"")</f>
        <v/>
      </c>
      <c r="K291" s="190" t="str">
        <f>IFERROR(_xlfn.XLOOKUP($A291,Input_Raw!$A:$A,Input_Raw!$DB:$DB),"")</f>
        <v/>
      </c>
      <c r="L291" s="190" t="str">
        <f>IFERROR(_xlfn.XLOOKUP($A291,Input_Raw!$A:$A,Input_Raw!$DC:$DC),"")</f>
        <v/>
      </c>
      <c r="M291" s="189" t="str">
        <f>IFERROR(_xlfn.XLOOKUP($A291,Input_Raw!$A:$A,Input_Raw!$DF:$DF),"")</f>
        <v/>
      </c>
      <c r="N291" s="189" t="str">
        <f>IFERROR(_xlfn.XLOOKUP($A291,Input_Raw!$A:$A,Input_Raw!$DG:$DG),"")</f>
        <v/>
      </c>
      <c r="O291" s="219" t="str">
        <f>IFERROR(1-(SUMIF(Plant_BD!$B:$B,$A291,Plant_BD!$AL:$AL)/($AA291+SUMIF(Plant_BD!$B:$B,$A291,Plant_BD!$AL:$AL))),"")</f>
        <v/>
      </c>
      <c r="P291" s="219"/>
      <c r="Q291" s="220" t="str">
        <f>IFERROR(1-(SUMIF(Grid_BD!$B:$B,$A291,Grid_BD!$V:$V)/($AA291+SUMIF(Grid_BD!$B:$B,$A291,Grid_BD!$V:$V))),"")</f>
        <v/>
      </c>
      <c r="R291" s="219" t="str">
        <f>IFERROR(1-(SUMIF(Grid_BD!$B:$B,$A291,Grid_BD!$V:$V)/($AA291+SUMIF(Grid_BD!$B:$B,$A291,Grid_BD!$V:$V))),"")</f>
        <v/>
      </c>
      <c r="S291" s="9"/>
      <c r="T291" s="220"/>
      <c r="U291" s="221" t="str">
        <f t="shared" si="21"/>
        <v/>
      </c>
      <c r="V291" s="221" t="str">
        <f>IFERROR(_xlfn.XLOOKUP($A291,Input_Raw!$A:$A,Input_Raw!$FG:$FG),"")</f>
        <v/>
      </c>
      <c r="W291" s="222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78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22">
        <f>IFERROR(_xlfn.XLOOKUP($D291,'Modelling New'!$D:$D,'Modelling New'!O:O),"")</f>
        <v>0.85614594057129279</v>
      </c>
      <c r="AF291" s="222">
        <f>IFERROR(_xlfn.XLOOKUP($D291,'Modelling New'!$D:$D,'Modelling New'!W:W),"")</f>
        <v>0.19677547827646649</v>
      </c>
      <c r="AG291" s="222">
        <f>IFERROR(_xlfn.XLOOKUP($D291,'Modelling New'!$D:$D,'Modelling New'!AE:AE),"")</f>
        <v>0.995</v>
      </c>
      <c r="AH291" s="222">
        <f>IFERROR(_xlfn.XLOOKUP($D291,'Modelling New'!$D:$D,'Modelling New'!AF:AF),"")</f>
        <v>0.995</v>
      </c>
      <c r="AI291" s="9"/>
      <c r="AJ291" s="9"/>
      <c r="AK291" s="245"/>
      <c r="AL291" s="245"/>
      <c r="AM291" s="245"/>
      <c r="AN291" s="219"/>
      <c r="AO291" s="222"/>
      <c r="AP291" s="222"/>
      <c r="AQ291" s="222"/>
      <c r="AR291" s="223">
        <f>_xlfn.XLOOKUP(D291,'Modelling New'!$D:$D,'Modelling New'!$N:$N)</f>
        <v>130</v>
      </c>
      <c r="AS291" s="223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18">
        <f>Table13[[#This Row],[Date]]-DAY(Table13[[#This Row],[Date]])+1</f>
        <v>46023</v>
      </c>
      <c r="E292" s="9">
        <f t="shared" si="20"/>
        <v>31</v>
      </c>
      <c r="F292" s="188" t="str">
        <f>IFERROR(_xlfn.XLOOKUP($A292,Input_Raw!$A:$A,Input_Raw!$FC:$FC),"")</f>
        <v/>
      </c>
      <c r="G292" s="189" t="str">
        <f>IFERROR(_xlfn.XLOOKUP($A292,Input_Raw!$A:$A,Input_Raw!$CY:$CY),"")</f>
        <v/>
      </c>
      <c r="H292" s="189" t="str">
        <f>IFERROR(_xlfn.XLOOKUP($A292,Input_Raw!$A:$A,Input_Raw!$DA:$DA),"")</f>
        <v/>
      </c>
      <c r="I292" s="189" t="str">
        <f>IFERROR(_xlfn.XLOOKUP($A292,Input_Raw!$A:$A,Input_Raw!$CX:$CX),"")</f>
        <v/>
      </c>
      <c r="J292" s="189" t="str">
        <f>IFERROR(_xlfn.XLOOKUP($A292,Input_Raw!$A:$A,Input_Raw!$CZ:$CZ),"")</f>
        <v/>
      </c>
      <c r="K292" s="190" t="str">
        <f>IFERROR(_xlfn.XLOOKUP($A292,Input_Raw!$A:$A,Input_Raw!$DB:$DB),"")</f>
        <v/>
      </c>
      <c r="L292" s="190" t="str">
        <f>IFERROR(_xlfn.XLOOKUP($A292,Input_Raw!$A:$A,Input_Raw!$DC:$DC),"")</f>
        <v/>
      </c>
      <c r="M292" s="189" t="str">
        <f>IFERROR(_xlfn.XLOOKUP($A292,Input_Raw!$A:$A,Input_Raw!$DF:$DF),"")</f>
        <v/>
      </c>
      <c r="N292" s="189" t="str">
        <f>IFERROR(_xlfn.XLOOKUP($A292,Input_Raw!$A:$A,Input_Raw!$DG:$DG),"")</f>
        <v/>
      </c>
      <c r="O292" s="219" t="str">
        <f>IFERROR(1-(SUMIF(Plant_BD!$B:$B,$A292,Plant_BD!$AL:$AL)/($AA292+SUMIF(Plant_BD!$B:$B,$A292,Plant_BD!$AL:$AL))),"")</f>
        <v/>
      </c>
      <c r="P292" s="219"/>
      <c r="Q292" s="220" t="str">
        <f>IFERROR(1-(SUMIF(Grid_BD!$B:$B,$A292,Grid_BD!$V:$V)/($AA292+SUMIF(Grid_BD!$B:$B,$A292,Grid_BD!$V:$V))),"")</f>
        <v/>
      </c>
      <c r="R292" s="219" t="str">
        <f>IFERROR(1-(SUMIF(Grid_BD!$B:$B,$A292,Grid_BD!$V:$V)/($AA292+SUMIF(Grid_BD!$B:$B,$A292,Grid_BD!$V:$V))),"")</f>
        <v/>
      </c>
      <c r="S292" s="9"/>
      <c r="T292" s="220"/>
      <c r="U292" s="221" t="str">
        <f t="shared" si="21"/>
        <v/>
      </c>
      <c r="V292" s="221" t="str">
        <f>IFERROR(_xlfn.XLOOKUP($A292,Input_Raw!$A:$A,Input_Raw!$FG:$FG),"")</f>
        <v/>
      </c>
      <c r="W292" s="222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78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22">
        <f>IFERROR(_xlfn.XLOOKUP($D292,'Modelling New'!$D:$D,'Modelling New'!O:O),"")</f>
        <v>0.85614594057129279</v>
      </c>
      <c r="AF292" s="222">
        <f>IFERROR(_xlfn.XLOOKUP($D292,'Modelling New'!$D:$D,'Modelling New'!W:W),"")</f>
        <v>0.19677547827646649</v>
      </c>
      <c r="AG292" s="222">
        <f>IFERROR(_xlfn.XLOOKUP($D292,'Modelling New'!$D:$D,'Modelling New'!AE:AE),"")</f>
        <v>0.995</v>
      </c>
      <c r="AH292" s="222">
        <f>IFERROR(_xlfn.XLOOKUP($D292,'Modelling New'!$D:$D,'Modelling New'!AF:AF),"")</f>
        <v>0.995</v>
      </c>
      <c r="AI292" s="9"/>
      <c r="AJ292" s="9"/>
      <c r="AK292" s="245"/>
      <c r="AL292" s="245"/>
      <c r="AM292" s="245"/>
      <c r="AN292" s="219"/>
      <c r="AO292" s="222"/>
      <c r="AP292" s="222"/>
      <c r="AQ292" s="222"/>
      <c r="AR292" s="223">
        <f>_xlfn.XLOOKUP(D292,'Modelling New'!$D:$D,'Modelling New'!$N:$N)</f>
        <v>130</v>
      </c>
      <c r="AS292" s="223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18">
        <f>Table13[[#This Row],[Date]]-DAY(Table13[[#This Row],[Date]])+1</f>
        <v>46023</v>
      </c>
      <c r="E293" s="9">
        <f t="shared" si="20"/>
        <v>31</v>
      </c>
      <c r="F293" s="188" t="str">
        <f>IFERROR(_xlfn.XLOOKUP($A293,Input_Raw!$A:$A,Input_Raw!$FC:$FC),"")</f>
        <v/>
      </c>
      <c r="G293" s="178" t="str">
        <f>IFERROR(_xlfn.XLOOKUP($A293,Input_Raw!$A:$A,Input_Raw!$CY:$CY),"")</f>
        <v/>
      </c>
      <c r="H293" s="178" t="str">
        <f>IFERROR(_xlfn.XLOOKUP($A293,Input_Raw!$A:$A,Input_Raw!$DA:$DA),"")</f>
        <v/>
      </c>
      <c r="I293" s="178" t="str">
        <f>IFERROR(_xlfn.XLOOKUP($A293,Input_Raw!$A:$A,Input_Raw!$CX:$CX),"")</f>
        <v/>
      </c>
      <c r="J293" s="178" t="str">
        <f>IFERROR(_xlfn.XLOOKUP($A293,Input_Raw!$A:$A,Input_Raw!$CZ:$CZ),"")</f>
        <v/>
      </c>
      <c r="K293" s="190" t="str">
        <f>IFERROR(_xlfn.XLOOKUP($A293,Input_Raw!$A:$A,Input_Raw!$DB:$DB),"")</f>
        <v/>
      </c>
      <c r="L293" s="190" t="str">
        <f>IFERROR(_xlfn.XLOOKUP($A293,Input_Raw!$A:$A,Input_Raw!$DC:$DC),"")</f>
        <v/>
      </c>
      <c r="M293" s="189" t="str">
        <f>IFERROR(_xlfn.XLOOKUP($A293,Input_Raw!$A:$A,Input_Raw!$DF:$DF),"")</f>
        <v/>
      </c>
      <c r="N293" s="189" t="str">
        <f>IFERROR(_xlfn.XLOOKUP($A293,Input_Raw!$A:$A,Input_Raw!$DG:$DG),"")</f>
        <v/>
      </c>
      <c r="O293" s="219" t="str">
        <f>IFERROR(1-(SUMIF(Plant_BD!$B:$B,$A293,Plant_BD!$AL:$AL)/($AA293+SUMIF(Plant_BD!$B:$B,$A293,Plant_BD!$AL:$AL))),"")</f>
        <v/>
      </c>
      <c r="P293" s="219"/>
      <c r="Q293" s="220" t="str">
        <f>IFERROR(1-(SUMIF(Grid_BD!$B:$B,$A293,Grid_BD!$V:$V)/($AA293+SUMIF(Grid_BD!$B:$B,$A293,Grid_BD!$V:$V))),"")</f>
        <v/>
      </c>
      <c r="R293" s="219" t="str">
        <f>IFERROR(1-(SUMIF(Grid_BD!$B:$B,$A293,Grid_BD!$V:$V)/($AA293+SUMIF(Grid_BD!$B:$B,$A293,Grid_BD!$V:$V))),"")</f>
        <v/>
      </c>
      <c r="S293" s="9"/>
      <c r="T293" s="220"/>
      <c r="U293" s="221" t="str">
        <f t="shared" si="21"/>
        <v/>
      </c>
      <c r="V293" s="221" t="str">
        <f>IFERROR(_xlfn.XLOOKUP($A293,Input_Raw!$A:$A,Input_Raw!$FG:$FG),"")</f>
        <v/>
      </c>
      <c r="W293" s="222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78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22">
        <f>IFERROR(_xlfn.XLOOKUP($D293,'Modelling New'!$D:$D,'Modelling New'!O:O),"")</f>
        <v>0.85614594057129279</v>
      </c>
      <c r="AF293" s="222">
        <f>IFERROR(_xlfn.XLOOKUP($D293,'Modelling New'!$D:$D,'Modelling New'!W:W),"")</f>
        <v>0.19677547827646649</v>
      </c>
      <c r="AG293" s="222">
        <f>IFERROR(_xlfn.XLOOKUP($D293,'Modelling New'!$D:$D,'Modelling New'!AE:AE),"")</f>
        <v>0.995</v>
      </c>
      <c r="AH293" s="222">
        <f>IFERROR(_xlfn.XLOOKUP($D293,'Modelling New'!$D:$D,'Modelling New'!AF:AF),"")</f>
        <v>0.995</v>
      </c>
      <c r="AI293" s="9"/>
      <c r="AJ293" s="9"/>
      <c r="AK293" s="245"/>
      <c r="AL293" s="245"/>
      <c r="AM293" s="245"/>
      <c r="AN293" s="219"/>
      <c r="AO293" s="222"/>
      <c r="AP293" s="222"/>
      <c r="AQ293" s="222"/>
      <c r="AR293" s="223">
        <f>_xlfn.XLOOKUP(D293,'Modelling New'!$D:$D,'Modelling New'!$N:$N)</f>
        <v>130</v>
      </c>
      <c r="AS293" s="223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18">
        <f>Table13[[#This Row],[Date]]-DAY(Table13[[#This Row],[Date]])+1</f>
        <v>46023</v>
      </c>
      <c r="E294" s="9">
        <f t="shared" si="20"/>
        <v>31</v>
      </c>
      <c r="F294" s="188" t="str">
        <f>IFERROR(_xlfn.XLOOKUP($A294,Input_Raw!$A:$A,Input_Raw!$FC:$FC),"")</f>
        <v/>
      </c>
      <c r="G294" s="189" t="str">
        <f>IFERROR(_xlfn.XLOOKUP($A294,Input_Raw!$A:$A,Input_Raw!$CY:$CY),"")</f>
        <v/>
      </c>
      <c r="H294" s="189" t="str">
        <f>IFERROR(_xlfn.XLOOKUP($A294,Input_Raw!$A:$A,Input_Raw!$DA:$DA),"")</f>
        <v/>
      </c>
      <c r="I294" s="189" t="str">
        <f>IFERROR(_xlfn.XLOOKUP($A294,Input_Raw!$A:$A,Input_Raw!$CX:$CX),"")</f>
        <v/>
      </c>
      <c r="J294" s="189" t="str">
        <f>IFERROR(_xlfn.XLOOKUP($A294,Input_Raw!$A:$A,Input_Raw!$CZ:$CZ),"")</f>
        <v/>
      </c>
      <c r="K294" s="190" t="str">
        <f>IFERROR(_xlfn.XLOOKUP($A294,Input_Raw!$A:$A,Input_Raw!$DB:$DB),"")</f>
        <v/>
      </c>
      <c r="L294" s="190" t="str">
        <f>IFERROR(_xlfn.XLOOKUP($A294,Input_Raw!$A:$A,Input_Raw!$DC:$DC),"")</f>
        <v/>
      </c>
      <c r="M294" s="189" t="str">
        <f>IFERROR(_xlfn.XLOOKUP($A294,Input_Raw!$A:$A,Input_Raw!$DF:$DF),"")</f>
        <v/>
      </c>
      <c r="N294" s="189" t="str">
        <f>IFERROR(_xlfn.XLOOKUP($A294,Input_Raw!$A:$A,Input_Raw!$DG:$DG),"")</f>
        <v/>
      </c>
      <c r="O294" s="219" t="str">
        <f>IFERROR(1-(SUMIF(Plant_BD!$B:$B,$A294,Plant_BD!$AL:$AL)/($AA294+SUMIF(Plant_BD!$B:$B,$A294,Plant_BD!$AL:$AL))),"")</f>
        <v/>
      </c>
      <c r="P294" s="219"/>
      <c r="Q294" s="220" t="str">
        <f>IFERROR(1-(SUMIF(Grid_BD!$B:$B,$A294,Grid_BD!$V:$V)/($AA294+SUMIF(Grid_BD!$B:$B,$A294,Grid_BD!$V:$V))),"")</f>
        <v/>
      </c>
      <c r="R294" s="219" t="str">
        <f>IFERROR(1-(SUMIF(Grid_BD!$B:$B,$A294,Grid_BD!$V:$V)/($AA294+SUMIF(Grid_BD!$B:$B,$A294,Grid_BD!$V:$V))),"")</f>
        <v/>
      </c>
      <c r="S294" s="9"/>
      <c r="T294" s="220"/>
      <c r="U294" s="221" t="str">
        <f t="shared" si="21"/>
        <v/>
      </c>
      <c r="V294" s="221" t="str">
        <f>IFERROR(_xlfn.XLOOKUP($A294,Input_Raw!$A:$A,Input_Raw!$FG:$FG),"")</f>
        <v/>
      </c>
      <c r="W294" s="222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78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22">
        <f>IFERROR(_xlfn.XLOOKUP($D294,'Modelling New'!$D:$D,'Modelling New'!O:O),"")</f>
        <v>0.85614594057129279</v>
      </c>
      <c r="AF294" s="222">
        <f>IFERROR(_xlfn.XLOOKUP($D294,'Modelling New'!$D:$D,'Modelling New'!W:W),"")</f>
        <v>0.19677547827646649</v>
      </c>
      <c r="AG294" s="222">
        <f>IFERROR(_xlfn.XLOOKUP($D294,'Modelling New'!$D:$D,'Modelling New'!AE:AE),"")</f>
        <v>0.995</v>
      </c>
      <c r="AH294" s="222">
        <f>IFERROR(_xlfn.XLOOKUP($D294,'Modelling New'!$D:$D,'Modelling New'!AF:AF),"")</f>
        <v>0.995</v>
      </c>
      <c r="AI294" s="9"/>
      <c r="AJ294" s="9"/>
      <c r="AK294" s="245"/>
      <c r="AL294" s="245"/>
      <c r="AM294" s="245"/>
      <c r="AN294" s="219"/>
      <c r="AO294" s="222"/>
      <c r="AP294" s="222"/>
      <c r="AQ294" s="222"/>
      <c r="AR294" s="223">
        <f>_xlfn.XLOOKUP(D294,'Modelling New'!$D:$D,'Modelling New'!$N:$N)</f>
        <v>130</v>
      </c>
      <c r="AS294" s="223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18">
        <f>Table13[[#This Row],[Date]]-DAY(Table13[[#This Row],[Date]])+1</f>
        <v>46023</v>
      </c>
      <c r="E295" s="9">
        <f t="shared" si="20"/>
        <v>31</v>
      </c>
      <c r="F295" s="188" t="str">
        <f>IFERROR(_xlfn.XLOOKUP($A295,Input_Raw!$A:$A,Input_Raw!$FC:$FC),"")</f>
        <v/>
      </c>
      <c r="G295" s="178" t="str">
        <f>IFERROR(_xlfn.XLOOKUP($A295,Input_Raw!$A:$A,Input_Raw!$CY:$CY),"")</f>
        <v/>
      </c>
      <c r="H295" s="178" t="str">
        <f>IFERROR(_xlfn.XLOOKUP($A295,Input_Raw!$A:$A,Input_Raw!$DA:$DA),"")</f>
        <v/>
      </c>
      <c r="I295" s="178" t="str">
        <f>IFERROR(_xlfn.XLOOKUP($A295,Input_Raw!$A:$A,Input_Raw!$CX:$CX),"")</f>
        <v/>
      </c>
      <c r="J295" s="178" t="str">
        <f>IFERROR(_xlfn.XLOOKUP($A295,Input_Raw!$A:$A,Input_Raw!$CZ:$CZ),"")</f>
        <v/>
      </c>
      <c r="K295" s="190" t="str">
        <f>IFERROR(_xlfn.XLOOKUP($A295,Input_Raw!$A:$A,Input_Raw!$DB:$DB),"")</f>
        <v/>
      </c>
      <c r="L295" s="190" t="str">
        <f>IFERROR(_xlfn.XLOOKUP($A295,Input_Raw!$A:$A,Input_Raw!$DC:$DC),"")</f>
        <v/>
      </c>
      <c r="M295" s="189" t="str">
        <f>IFERROR(_xlfn.XLOOKUP($A295,Input_Raw!$A:$A,Input_Raw!$DF:$DF),"")</f>
        <v/>
      </c>
      <c r="N295" s="189" t="str">
        <f>IFERROR(_xlfn.XLOOKUP($A295,Input_Raw!$A:$A,Input_Raw!$DG:$DG),"")</f>
        <v/>
      </c>
      <c r="O295" s="219" t="str">
        <f>IFERROR(1-(SUMIF(Plant_BD!$B:$B,$A295,Plant_BD!$AL:$AL)/($AA295+SUMIF(Plant_BD!$B:$B,$A295,Plant_BD!$AL:$AL))),"")</f>
        <v/>
      </c>
      <c r="P295" s="219"/>
      <c r="Q295" s="220" t="str">
        <f>IFERROR(1-(SUMIF(Grid_BD!$B:$B,$A295,Grid_BD!$V:$V)/($AA295+SUMIF(Grid_BD!$B:$B,$A295,Grid_BD!$V:$V))),"")</f>
        <v/>
      </c>
      <c r="R295" s="219" t="str">
        <f>IFERROR(1-(SUMIF(Grid_BD!$B:$B,$A295,Grid_BD!$V:$V)/($AA295+SUMIF(Grid_BD!$B:$B,$A295,Grid_BD!$V:$V))),"")</f>
        <v/>
      </c>
      <c r="S295" s="9"/>
      <c r="T295" s="220"/>
      <c r="U295" s="221" t="str">
        <f t="shared" si="21"/>
        <v/>
      </c>
      <c r="V295" s="221" t="str">
        <f>IFERROR(_xlfn.XLOOKUP($A295,Input_Raw!$A:$A,Input_Raw!$FG:$FG),"")</f>
        <v/>
      </c>
      <c r="W295" s="222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78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22">
        <f>IFERROR(_xlfn.XLOOKUP($D295,'Modelling New'!$D:$D,'Modelling New'!O:O),"")</f>
        <v>0.85614594057129279</v>
      </c>
      <c r="AF295" s="222">
        <f>IFERROR(_xlfn.XLOOKUP($D295,'Modelling New'!$D:$D,'Modelling New'!W:W),"")</f>
        <v>0.19677547827646649</v>
      </c>
      <c r="AG295" s="222">
        <f>IFERROR(_xlfn.XLOOKUP($D295,'Modelling New'!$D:$D,'Modelling New'!AE:AE),"")</f>
        <v>0.995</v>
      </c>
      <c r="AH295" s="222">
        <f>IFERROR(_xlfn.XLOOKUP($D295,'Modelling New'!$D:$D,'Modelling New'!AF:AF),"")</f>
        <v>0.995</v>
      </c>
      <c r="AI295" s="9"/>
      <c r="AJ295" s="9"/>
      <c r="AK295" s="245"/>
      <c r="AL295" s="245"/>
      <c r="AM295" s="245"/>
      <c r="AN295" s="219"/>
      <c r="AO295" s="222"/>
      <c r="AP295" s="222"/>
      <c r="AQ295" s="222"/>
      <c r="AR295" s="223">
        <f>_xlfn.XLOOKUP(D295,'Modelling New'!$D:$D,'Modelling New'!$N:$N)</f>
        <v>130</v>
      </c>
      <c r="AS295" s="223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18">
        <f>Table13[[#This Row],[Date]]-DAY(Table13[[#This Row],[Date]])+1</f>
        <v>46023</v>
      </c>
      <c r="E296" s="9">
        <f t="shared" ref="E296:E359" si="25">DAY(EOMONTH(A296,0))</f>
        <v>31</v>
      </c>
      <c r="F296" s="188" t="str">
        <f>IFERROR(_xlfn.XLOOKUP($A296,Input_Raw!$A:$A,Input_Raw!$FC:$FC),"")</f>
        <v/>
      </c>
      <c r="G296" s="189" t="str">
        <f>IFERROR(_xlfn.XLOOKUP($A296,Input_Raw!$A:$A,Input_Raw!$CY:$CY),"")</f>
        <v/>
      </c>
      <c r="H296" s="189" t="str">
        <f>IFERROR(_xlfn.XLOOKUP($A296,Input_Raw!$A:$A,Input_Raw!$DA:$DA),"")</f>
        <v/>
      </c>
      <c r="I296" s="189" t="str">
        <f>IFERROR(_xlfn.XLOOKUP($A296,Input_Raw!$A:$A,Input_Raw!$CX:$CX),"")</f>
        <v/>
      </c>
      <c r="J296" s="189" t="str">
        <f>IFERROR(_xlfn.XLOOKUP($A296,Input_Raw!$A:$A,Input_Raw!$CZ:$CZ),"")</f>
        <v/>
      </c>
      <c r="K296" s="190" t="str">
        <f>IFERROR(_xlfn.XLOOKUP($A296,Input_Raw!$A:$A,Input_Raw!$DB:$DB),"")</f>
        <v/>
      </c>
      <c r="L296" s="190" t="str">
        <f>IFERROR(_xlfn.XLOOKUP($A296,Input_Raw!$A:$A,Input_Raw!$DC:$DC),"")</f>
        <v/>
      </c>
      <c r="M296" s="189" t="str">
        <f>IFERROR(_xlfn.XLOOKUP($A296,Input_Raw!$A:$A,Input_Raw!$DF:$DF),"")</f>
        <v/>
      </c>
      <c r="N296" s="189" t="str">
        <f>IFERROR(_xlfn.XLOOKUP($A296,Input_Raw!$A:$A,Input_Raw!$DG:$DG),"")</f>
        <v/>
      </c>
      <c r="O296" s="219" t="str">
        <f>IFERROR(1-(SUMIF(Plant_BD!$B:$B,$A296,Plant_BD!$AL:$AL)/($AA296+SUMIF(Plant_BD!$B:$B,$A296,Plant_BD!$AL:$AL))),"")</f>
        <v/>
      </c>
      <c r="P296" s="219"/>
      <c r="Q296" s="220" t="str">
        <f>IFERROR(1-(SUMIF(Grid_BD!$B:$B,$A296,Grid_BD!$V:$V)/($AA296+SUMIF(Grid_BD!$B:$B,$A296,Grid_BD!$V:$V))),"")</f>
        <v/>
      </c>
      <c r="R296" s="219" t="str">
        <f>IFERROR(1-(SUMIF(Grid_BD!$B:$B,$A296,Grid_BD!$V:$V)/($AA296+SUMIF(Grid_BD!$B:$B,$A296,Grid_BD!$V:$V))),"")</f>
        <v/>
      </c>
      <c r="S296" s="9"/>
      <c r="T296" s="220"/>
      <c r="U296" s="221" t="str">
        <f t="shared" ref="U296:U359" si="26">IFERROR(AA296/I296/AB296/1000,"")</f>
        <v/>
      </c>
      <c r="V296" s="221" t="str">
        <f>IFERROR(_xlfn.XLOOKUP($A296,Input_Raw!$A:$A,Input_Raw!$FG:$FG),"")</f>
        <v/>
      </c>
      <c r="W296" s="222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78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22">
        <f>IFERROR(_xlfn.XLOOKUP($D296,'Modelling New'!$D:$D,'Modelling New'!O:O),"")</f>
        <v>0.85614594057129279</v>
      </c>
      <c r="AF296" s="222">
        <f>IFERROR(_xlfn.XLOOKUP($D296,'Modelling New'!$D:$D,'Modelling New'!W:W),"")</f>
        <v>0.19677547827646649</v>
      </c>
      <c r="AG296" s="222">
        <f>IFERROR(_xlfn.XLOOKUP($D296,'Modelling New'!$D:$D,'Modelling New'!AE:AE),"")</f>
        <v>0.995</v>
      </c>
      <c r="AH296" s="222">
        <f>IFERROR(_xlfn.XLOOKUP($D296,'Modelling New'!$D:$D,'Modelling New'!AF:AF),"")</f>
        <v>0.995</v>
      </c>
      <c r="AI296" s="9"/>
      <c r="AJ296" s="9"/>
      <c r="AK296" s="245"/>
      <c r="AL296" s="245"/>
      <c r="AM296" s="245"/>
      <c r="AN296" s="219"/>
      <c r="AO296" s="222"/>
      <c r="AP296" s="222"/>
      <c r="AQ296" s="222"/>
      <c r="AR296" s="223">
        <f>_xlfn.XLOOKUP(D296,'Modelling New'!$D:$D,'Modelling New'!$N:$N)</f>
        <v>130</v>
      </c>
      <c r="AS296" s="223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18">
        <f>Table13[[#This Row],[Date]]-DAY(Table13[[#This Row],[Date]])+1</f>
        <v>46023</v>
      </c>
      <c r="E297" s="9">
        <f t="shared" si="25"/>
        <v>31</v>
      </c>
      <c r="F297" s="188" t="str">
        <f>IFERROR(_xlfn.XLOOKUP($A297,Input_Raw!$A:$A,Input_Raw!$FC:$FC),"")</f>
        <v/>
      </c>
      <c r="G297" s="178" t="str">
        <f>IFERROR(_xlfn.XLOOKUP($A297,Input_Raw!$A:$A,Input_Raw!$CY:$CY),"")</f>
        <v/>
      </c>
      <c r="H297" s="178" t="str">
        <f>IFERROR(_xlfn.XLOOKUP($A297,Input_Raw!$A:$A,Input_Raw!$DA:$DA),"")</f>
        <v/>
      </c>
      <c r="I297" s="178" t="str">
        <f>IFERROR(_xlfn.XLOOKUP($A297,Input_Raw!$A:$A,Input_Raw!$CX:$CX),"")</f>
        <v/>
      </c>
      <c r="J297" s="178" t="str">
        <f>IFERROR(_xlfn.XLOOKUP($A297,Input_Raw!$A:$A,Input_Raw!$CZ:$CZ),"")</f>
        <v/>
      </c>
      <c r="K297" s="190" t="str">
        <f>IFERROR(_xlfn.XLOOKUP($A297,Input_Raw!$A:$A,Input_Raw!$DB:$DB),"")</f>
        <v/>
      </c>
      <c r="L297" s="190" t="str">
        <f>IFERROR(_xlfn.XLOOKUP($A297,Input_Raw!$A:$A,Input_Raw!$DC:$DC),"")</f>
        <v/>
      </c>
      <c r="M297" s="189" t="str">
        <f>IFERROR(_xlfn.XLOOKUP($A297,Input_Raw!$A:$A,Input_Raw!$DF:$DF),"")</f>
        <v/>
      </c>
      <c r="N297" s="189" t="str">
        <f>IFERROR(_xlfn.XLOOKUP($A297,Input_Raw!$A:$A,Input_Raw!$DG:$DG),"")</f>
        <v/>
      </c>
      <c r="O297" s="219" t="str">
        <f>IFERROR(1-(SUMIF(Plant_BD!$B:$B,$A297,Plant_BD!$AL:$AL)/($AA297+SUMIF(Plant_BD!$B:$B,$A297,Plant_BD!$AL:$AL))),"")</f>
        <v/>
      </c>
      <c r="P297" s="219"/>
      <c r="Q297" s="220" t="str">
        <f>IFERROR(1-(SUMIF(Grid_BD!$B:$B,$A297,Grid_BD!$V:$V)/($AA297+SUMIF(Grid_BD!$B:$B,$A297,Grid_BD!$V:$V))),"")</f>
        <v/>
      </c>
      <c r="R297" s="219" t="str">
        <f>IFERROR(1-(SUMIF(Grid_BD!$B:$B,$A297,Grid_BD!$V:$V)/($AA297+SUMIF(Grid_BD!$B:$B,$A297,Grid_BD!$V:$V))),"")</f>
        <v/>
      </c>
      <c r="S297" s="9"/>
      <c r="T297" s="220"/>
      <c r="U297" s="221" t="str">
        <f t="shared" si="26"/>
        <v/>
      </c>
      <c r="V297" s="221" t="str">
        <f>IFERROR(_xlfn.XLOOKUP($A297,Input_Raw!$A:$A,Input_Raw!$FG:$FG),"")</f>
        <v/>
      </c>
      <c r="W297" s="222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78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22">
        <f>IFERROR(_xlfn.XLOOKUP($D297,'Modelling New'!$D:$D,'Modelling New'!O:O),"")</f>
        <v>0.85614594057129279</v>
      </c>
      <c r="AF297" s="222">
        <f>IFERROR(_xlfn.XLOOKUP($D297,'Modelling New'!$D:$D,'Modelling New'!W:W),"")</f>
        <v>0.19677547827646649</v>
      </c>
      <c r="AG297" s="222">
        <f>IFERROR(_xlfn.XLOOKUP($D297,'Modelling New'!$D:$D,'Modelling New'!AE:AE),"")</f>
        <v>0.995</v>
      </c>
      <c r="AH297" s="222">
        <f>IFERROR(_xlfn.XLOOKUP($D297,'Modelling New'!$D:$D,'Modelling New'!AF:AF),"")</f>
        <v>0.995</v>
      </c>
      <c r="AI297" s="9"/>
      <c r="AJ297" s="9"/>
      <c r="AK297" s="245"/>
      <c r="AL297" s="245"/>
      <c r="AM297" s="245"/>
      <c r="AN297" s="219"/>
      <c r="AO297" s="222"/>
      <c r="AP297" s="222"/>
      <c r="AQ297" s="222"/>
      <c r="AR297" s="223">
        <f>_xlfn.XLOOKUP(D297,'Modelling New'!$D:$D,'Modelling New'!$N:$N)</f>
        <v>130</v>
      </c>
      <c r="AS297" s="223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18">
        <f>Table13[[#This Row],[Date]]-DAY(Table13[[#This Row],[Date]])+1</f>
        <v>46023</v>
      </c>
      <c r="E298" s="9">
        <f t="shared" si="25"/>
        <v>31</v>
      </c>
      <c r="F298" s="188" t="str">
        <f>IFERROR(_xlfn.XLOOKUP($A298,Input_Raw!$A:$A,Input_Raw!$FC:$FC),"")</f>
        <v/>
      </c>
      <c r="G298" s="189" t="str">
        <f>IFERROR(_xlfn.XLOOKUP($A298,Input_Raw!$A:$A,Input_Raw!$CY:$CY),"")</f>
        <v/>
      </c>
      <c r="H298" s="189" t="str">
        <f>IFERROR(_xlfn.XLOOKUP($A298,Input_Raw!$A:$A,Input_Raw!$DA:$DA),"")</f>
        <v/>
      </c>
      <c r="I298" s="189" t="str">
        <f>IFERROR(_xlfn.XLOOKUP($A298,Input_Raw!$A:$A,Input_Raw!$CX:$CX),"")</f>
        <v/>
      </c>
      <c r="J298" s="189" t="str">
        <f>IFERROR(_xlfn.XLOOKUP($A298,Input_Raw!$A:$A,Input_Raw!$CZ:$CZ),"")</f>
        <v/>
      </c>
      <c r="K298" s="190" t="str">
        <f>IFERROR(_xlfn.XLOOKUP($A298,Input_Raw!$A:$A,Input_Raw!$DB:$DB),"")</f>
        <v/>
      </c>
      <c r="L298" s="190" t="str">
        <f>IFERROR(_xlfn.XLOOKUP($A298,Input_Raw!$A:$A,Input_Raw!$DC:$DC),"")</f>
        <v/>
      </c>
      <c r="M298" s="189" t="str">
        <f>IFERROR(_xlfn.XLOOKUP($A298,Input_Raw!$A:$A,Input_Raw!$DF:$DF),"")</f>
        <v/>
      </c>
      <c r="N298" s="189" t="str">
        <f>IFERROR(_xlfn.XLOOKUP($A298,Input_Raw!$A:$A,Input_Raw!$DG:$DG),"")</f>
        <v/>
      </c>
      <c r="O298" s="219" t="str">
        <f>IFERROR(1-(SUMIF(Plant_BD!$B:$B,$A298,Plant_BD!$AL:$AL)/($AA298+SUMIF(Plant_BD!$B:$B,$A298,Plant_BD!$AL:$AL))),"")</f>
        <v/>
      </c>
      <c r="P298" s="219"/>
      <c r="Q298" s="220" t="str">
        <f>IFERROR(1-(SUMIF(Grid_BD!$B:$B,$A298,Grid_BD!$V:$V)/($AA298+SUMIF(Grid_BD!$B:$B,$A298,Grid_BD!$V:$V))),"")</f>
        <v/>
      </c>
      <c r="R298" s="219" t="str">
        <f>IFERROR(1-(SUMIF(Grid_BD!$B:$B,$A298,Grid_BD!$V:$V)/($AA298+SUMIF(Grid_BD!$B:$B,$A298,Grid_BD!$V:$V))),"")</f>
        <v/>
      </c>
      <c r="S298" s="9"/>
      <c r="T298" s="220"/>
      <c r="U298" s="221" t="str">
        <f t="shared" si="26"/>
        <v/>
      </c>
      <c r="V298" s="221" t="str">
        <f>IFERROR(_xlfn.XLOOKUP($A298,Input_Raw!$A:$A,Input_Raw!$FG:$FG),"")</f>
        <v/>
      </c>
      <c r="W298" s="222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78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22">
        <f>IFERROR(_xlfn.XLOOKUP($D298,'Modelling New'!$D:$D,'Modelling New'!O:O),"")</f>
        <v>0.85614594057129279</v>
      </c>
      <c r="AF298" s="222">
        <f>IFERROR(_xlfn.XLOOKUP($D298,'Modelling New'!$D:$D,'Modelling New'!W:W),"")</f>
        <v>0.19677547827646649</v>
      </c>
      <c r="AG298" s="222">
        <f>IFERROR(_xlfn.XLOOKUP($D298,'Modelling New'!$D:$D,'Modelling New'!AE:AE),"")</f>
        <v>0.995</v>
      </c>
      <c r="AH298" s="222">
        <f>IFERROR(_xlfn.XLOOKUP($D298,'Modelling New'!$D:$D,'Modelling New'!AF:AF),"")</f>
        <v>0.995</v>
      </c>
      <c r="AI298" s="9"/>
      <c r="AJ298" s="9"/>
      <c r="AK298" s="245"/>
      <c r="AL298" s="245"/>
      <c r="AM298" s="245"/>
      <c r="AN298" s="219"/>
      <c r="AO298" s="222"/>
      <c r="AP298" s="222"/>
      <c r="AQ298" s="222"/>
      <c r="AR298" s="223">
        <f>_xlfn.XLOOKUP(D298,'Modelling New'!$D:$D,'Modelling New'!$N:$N)</f>
        <v>130</v>
      </c>
      <c r="AS298" s="223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18">
        <f>Table13[[#This Row],[Date]]-DAY(Table13[[#This Row],[Date]])+1</f>
        <v>46023</v>
      </c>
      <c r="E299" s="9">
        <f t="shared" si="25"/>
        <v>31</v>
      </c>
      <c r="F299" s="188" t="str">
        <f>IFERROR(_xlfn.XLOOKUP($A299,Input_Raw!$A:$A,Input_Raw!$FC:$FC),"")</f>
        <v/>
      </c>
      <c r="G299" s="178" t="str">
        <f>IFERROR(_xlfn.XLOOKUP($A299,Input_Raw!$A:$A,Input_Raw!$CY:$CY),"")</f>
        <v/>
      </c>
      <c r="H299" s="178" t="str">
        <f>IFERROR(_xlfn.XLOOKUP($A299,Input_Raw!$A:$A,Input_Raw!$DA:$DA),"")</f>
        <v/>
      </c>
      <c r="I299" s="178" t="str">
        <f>IFERROR(_xlfn.XLOOKUP($A299,Input_Raw!$A:$A,Input_Raw!$CX:$CX),"")</f>
        <v/>
      </c>
      <c r="J299" s="178" t="str">
        <f>IFERROR(_xlfn.XLOOKUP($A299,Input_Raw!$A:$A,Input_Raw!$CZ:$CZ),"")</f>
        <v/>
      </c>
      <c r="K299" s="190" t="str">
        <f>IFERROR(_xlfn.XLOOKUP($A299,Input_Raw!$A:$A,Input_Raw!$DB:$DB),"")</f>
        <v/>
      </c>
      <c r="L299" s="190" t="str">
        <f>IFERROR(_xlfn.XLOOKUP($A299,Input_Raw!$A:$A,Input_Raw!$DC:$DC),"")</f>
        <v/>
      </c>
      <c r="M299" s="189" t="str">
        <f>IFERROR(_xlfn.XLOOKUP($A299,Input_Raw!$A:$A,Input_Raw!$DF:$DF),"")</f>
        <v/>
      </c>
      <c r="N299" s="189" t="str">
        <f>IFERROR(_xlfn.XLOOKUP($A299,Input_Raw!$A:$A,Input_Raw!$DG:$DG),"")</f>
        <v/>
      </c>
      <c r="O299" s="219" t="str">
        <f>IFERROR(1-(SUMIF(Plant_BD!$B:$B,$A299,Plant_BD!$AL:$AL)/($AA299+SUMIF(Plant_BD!$B:$B,$A299,Plant_BD!$AL:$AL))),"")</f>
        <v/>
      </c>
      <c r="P299" s="219"/>
      <c r="Q299" s="220" t="str">
        <f>IFERROR(1-(SUMIF(Grid_BD!$B:$B,$A299,Grid_BD!$V:$V)/($AA299+SUMIF(Grid_BD!$B:$B,$A299,Grid_BD!$V:$V))),"")</f>
        <v/>
      </c>
      <c r="R299" s="219" t="str">
        <f>IFERROR(1-(SUMIF(Grid_BD!$B:$B,$A299,Grid_BD!$V:$V)/($AA299+SUMIF(Grid_BD!$B:$B,$A299,Grid_BD!$V:$V))),"")</f>
        <v/>
      </c>
      <c r="S299" s="9"/>
      <c r="T299" s="220"/>
      <c r="U299" s="221" t="str">
        <f t="shared" si="26"/>
        <v/>
      </c>
      <c r="V299" s="221" t="str">
        <f>IFERROR(_xlfn.XLOOKUP($A299,Input_Raw!$A:$A,Input_Raw!$FG:$FG),"")</f>
        <v/>
      </c>
      <c r="W299" s="222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78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22">
        <f>IFERROR(_xlfn.XLOOKUP($D299,'Modelling New'!$D:$D,'Modelling New'!O:O),"")</f>
        <v>0.85614594057129279</v>
      </c>
      <c r="AF299" s="222">
        <f>IFERROR(_xlfn.XLOOKUP($D299,'Modelling New'!$D:$D,'Modelling New'!W:W),"")</f>
        <v>0.19677547827646649</v>
      </c>
      <c r="AG299" s="222">
        <f>IFERROR(_xlfn.XLOOKUP($D299,'Modelling New'!$D:$D,'Modelling New'!AE:AE),"")</f>
        <v>0.995</v>
      </c>
      <c r="AH299" s="222">
        <f>IFERROR(_xlfn.XLOOKUP($D299,'Modelling New'!$D:$D,'Modelling New'!AF:AF),"")</f>
        <v>0.995</v>
      </c>
      <c r="AI299" s="9"/>
      <c r="AJ299" s="9"/>
      <c r="AK299" s="245"/>
      <c r="AL299" s="245"/>
      <c r="AM299" s="245"/>
      <c r="AN299" s="219"/>
      <c r="AO299" s="222"/>
      <c r="AP299" s="222"/>
      <c r="AQ299" s="222"/>
      <c r="AR299" s="223">
        <f>_xlfn.XLOOKUP(D299,'Modelling New'!$D:$D,'Modelling New'!$N:$N)</f>
        <v>130</v>
      </c>
      <c r="AS299" s="223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18">
        <f>Table13[[#This Row],[Date]]-DAY(Table13[[#This Row],[Date]])+1</f>
        <v>46023</v>
      </c>
      <c r="E300" s="9">
        <f t="shared" si="25"/>
        <v>31</v>
      </c>
      <c r="F300" s="188" t="str">
        <f>IFERROR(_xlfn.XLOOKUP($A300,Input_Raw!$A:$A,Input_Raw!$FC:$FC),"")</f>
        <v/>
      </c>
      <c r="G300" s="189" t="str">
        <f>IFERROR(_xlfn.XLOOKUP($A300,Input_Raw!$A:$A,Input_Raw!$CY:$CY),"")</f>
        <v/>
      </c>
      <c r="H300" s="189" t="str">
        <f>IFERROR(_xlfn.XLOOKUP($A300,Input_Raw!$A:$A,Input_Raw!$DA:$DA),"")</f>
        <v/>
      </c>
      <c r="I300" s="189" t="str">
        <f>IFERROR(_xlfn.XLOOKUP($A300,Input_Raw!$A:$A,Input_Raw!$CX:$CX),"")</f>
        <v/>
      </c>
      <c r="J300" s="189" t="str">
        <f>IFERROR(_xlfn.XLOOKUP($A300,Input_Raw!$A:$A,Input_Raw!$CZ:$CZ),"")</f>
        <v/>
      </c>
      <c r="K300" s="190" t="str">
        <f>IFERROR(_xlfn.XLOOKUP($A300,Input_Raw!$A:$A,Input_Raw!$DB:$DB),"")</f>
        <v/>
      </c>
      <c r="L300" s="190" t="str">
        <f>IFERROR(_xlfn.XLOOKUP($A300,Input_Raw!$A:$A,Input_Raw!$DC:$DC),"")</f>
        <v/>
      </c>
      <c r="M300" s="189" t="str">
        <f>IFERROR(_xlfn.XLOOKUP($A300,Input_Raw!$A:$A,Input_Raw!$DF:$DF),"")</f>
        <v/>
      </c>
      <c r="N300" s="189" t="str">
        <f>IFERROR(_xlfn.XLOOKUP($A300,Input_Raw!$A:$A,Input_Raw!$DG:$DG),"")</f>
        <v/>
      </c>
      <c r="O300" s="219" t="str">
        <f>IFERROR(1-(SUMIF(Plant_BD!$B:$B,$A300,Plant_BD!$AL:$AL)/($AA300+SUMIF(Plant_BD!$B:$B,$A300,Plant_BD!$AL:$AL))),"")</f>
        <v/>
      </c>
      <c r="P300" s="219"/>
      <c r="Q300" s="220" t="str">
        <f>IFERROR(1-(SUMIF(Grid_BD!$B:$B,$A300,Grid_BD!$V:$V)/($AA300+SUMIF(Grid_BD!$B:$B,$A300,Grid_BD!$V:$V))),"")</f>
        <v/>
      </c>
      <c r="R300" s="219" t="str">
        <f>IFERROR(1-(SUMIF(Grid_BD!$B:$B,$A300,Grid_BD!$V:$V)/($AA300+SUMIF(Grid_BD!$B:$B,$A300,Grid_BD!$V:$V))),"")</f>
        <v/>
      </c>
      <c r="S300" s="9"/>
      <c r="T300" s="220"/>
      <c r="U300" s="221" t="str">
        <f t="shared" si="26"/>
        <v/>
      </c>
      <c r="V300" s="221" t="str">
        <f>IFERROR(_xlfn.XLOOKUP($A300,Input_Raw!$A:$A,Input_Raw!$FG:$FG),"")</f>
        <v/>
      </c>
      <c r="W300" s="222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78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22">
        <f>IFERROR(_xlfn.XLOOKUP($D300,'Modelling New'!$D:$D,'Modelling New'!O:O),"")</f>
        <v>0.85614594057129279</v>
      </c>
      <c r="AF300" s="222">
        <f>IFERROR(_xlfn.XLOOKUP($D300,'Modelling New'!$D:$D,'Modelling New'!W:W),"")</f>
        <v>0.19677547827646649</v>
      </c>
      <c r="AG300" s="222">
        <f>IFERROR(_xlfn.XLOOKUP($D300,'Modelling New'!$D:$D,'Modelling New'!AE:AE),"")</f>
        <v>0.995</v>
      </c>
      <c r="AH300" s="222">
        <f>IFERROR(_xlfn.XLOOKUP($D300,'Modelling New'!$D:$D,'Modelling New'!AF:AF),"")</f>
        <v>0.995</v>
      </c>
      <c r="AI300" s="9"/>
      <c r="AJ300" s="9"/>
      <c r="AK300" s="245"/>
      <c r="AL300" s="245"/>
      <c r="AM300" s="245"/>
      <c r="AN300" s="219"/>
      <c r="AO300" s="222"/>
      <c r="AP300" s="222"/>
      <c r="AQ300" s="222"/>
      <c r="AR300" s="223">
        <f>_xlfn.XLOOKUP(D300,'Modelling New'!$D:$D,'Modelling New'!$N:$N)</f>
        <v>130</v>
      </c>
      <c r="AS300" s="223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18">
        <f>Table13[[#This Row],[Date]]-DAY(Table13[[#This Row],[Date]])+1</f>
        <v>46023</v>
      </c>
      <c r="E301" s="9">
        <f t="shared" si="25"/>
        <v>31</v>
      </c>
      <c r="F301" s="188" t="str">
        <f>IFERROR(_xlfn.XLOOKUP($A301,Input_Raw!$A:$A,Input_Raw!$FC:$FC),"")</f>
        <v/>
      </c>
      <c r="G301" s="178" t="str">
        <f>IFERROR(_xlfn.XLOOKUP($A301,Input_Raw!$A:$A,Input_Raw!$CY:$CY),"")</f>
        <v/>
      </c>
      <c r="H301" s="178" t="str">
        <f>IFERROR(_xlfn.XLOOKUP($A301,Input_Raw!$A:$A,Input_Raw!$DA:$DA),"")</f>
        <v/>
      </c>
      <c r="I301" s="178" t="str">
        <f>IFERROR(_xlfn.XLOOKUP($A301,Input_Raw!$A:$A,Input_Raw!$CX:$CX),"")</f>
        <v/>
      </c>
      <c r="J301" s="178" t="str">
        <f>IFERROR(_xlfn.XLOOKUP($A301,Input_Raw!$A:$A,Input_Raw!$CZ:$CZ),"")</f>
        <v/>
      </c>
      <c r="K301" s="190" t="str">
        <f>IFERROR(_xlfn.XLOOKUP($A301,Input_Raw!$A:$A,Input_Raw!$DB:$DB),"")</f>
        <v/>
      </c>
      <c r="L301" s="190" t="str">
        <f>IFERROR(_xlfn.XLOOKUP($A301,Input_Raw!$A:$A,Input_Raw!$DC:$DC),"")</f>
        <v/>
      </c>
      <c r="M301" s="189" t="str">
        <f>IFERROR(_xlfn.XLOOKUP($A301,Input_Raw!$A:$A,Input_Raw!$DF:$DF),"")</f>
        <v/>
      </c>
      <c r="N301" s="189" t="str">
        <f>IFERROR(_xlfn.XLOOKUP($A301,Input_Raw!$A:$A,Input_Raw!$DG:$DG),"")</f>
        <v/>
      </c>
      <c r="O301" s="219" t="str">
        <f>IFERROR(1-(SUMIF(Plant_BD!$B:$B,$A301,Plant_BD!$AL:$AL)/($AA301+SUMIF(Plant_BD!$B:$B,$A301,Plant_BD!$AL:$AL))),"")</f>
        <v/>
      </c>
      <c r="P301" s="219"/>
      <c r="Q301" s="220" t="str">
        <f>IFERROR(1-(SUMIF(Grid_BD!$B:$B,$A301,Grid_BD!$V:$V)/($AA301+SUMIF(Grid_BD!$B:$B,$A301,Grid_BD!$V:$V))),"")</f>
        <v/>
      </c>
      <c r="R301" s="219" t="str">
        <f>IFERROR(1-(SUMIF(Grid_BD!$B:$B,$A301,Grid_BD!$V:$V)/($AA301+SUMIF(Grid_BD!$B:$B,$A301,Grid_BD!$V:$V))),"")</f>
        <v/>
      </c>
      <c r="S301" s="9"/>
      <c r="T301" s="220"/>
      <c r="U301" s="221" t="str">
        <f t="shared" si="26"/>
        <v/>
      </c>
      <c r="V301" s="221" t="str">
        <f>IFERROR(_xlfn.XLOOKUP($A301,Input_Raw!$A:$A,Input_Raw!$FG:$FG),"")</f>
        <v/>
      </c>
      <c r="W301" s="222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78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22">
        <f>IFERROR(_xlfn.XLOOKUP($D301,'Modelling New'!$D:$D,'Modelling New'!O:O),"")</f>
        <v>0.85614594057129279</v>
      </c>
      <c r="AF301" s="222">
        <f>IFERROR(_xlfn.XLOOKUP($D301,'Modelling New'!$D:$D,'Modelling New'!W:W),"")</f>
        <v>0.19677547827646649</v>
      </c>
      <c r="AG301" s="222">
        <f>IFERROR(_xlfn.XLOOKUP($D301,'Modelling New'!$D:$D,'Modelling New'!AE:AE),"")</f>
        <v>0.995</v>
      </c>
      <c r="AH301" s="222">
        <f>IFERROR(_xlfn.XLOOKUP($D301,'Modelling New'!$D:$D,'Modelling New'!AF:AF),"")</f>
        <v>0.995</v>
      </c>
      <c r="AI301" s="9"/>
      <c r="AJ301" s="9"/>
      <c r="AK301" s="245"/>
      <c r="AL301" s="245"/>
      <c r="AM301" s="245"/>
      <c r="AN301" s="219"/>
      <c r="AO301" s="222"/>
      <c r="AP301" s="222"/>
      <c r="AQ301" s="222"/>
      <c r="AR301" s="223">
        <f>_xlfn.XLOOKUP(D301,'Modelling New'!$D:$D,'Modelling New'!$N:$N)</f>
        <v>130</v>
      </c>
      <c r="AS301" s="223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18">
        <f>Table13[[#This Row],[Date]]-DAY(Table13[[#This Row],[Date]])+1</f>
        <v>46023</v>
      </c>
      <c r="E302" s="9">
        <f t="shared" si="25"/>
        <v>31</v>
      </c>
      <c r="F302" s="188" t="str">
        <f>IFERROR(_xlfn.XLOOKUP($A302,Input_Raw!$A:$A,Input_Raw!$FC:$FC),"")</f>
        <v/>
      </c>
      <c r="G302" s="189" t="str">
        <f>IFERROR(_xlfn.XLOOKUP($A302,Input_Raw!$A:$A,Input_Raw!$CY:$CY),"")</f>
        <v/>
      </c>
      <c r="H302" s="189" t="str">
        <f>IFERROR(_xlfn.XLOOKUP($A302,Input_Raw!$A:$A,Input_Raw!$DA:$DA),"")</f>
        <v/>
      </c>
      <c r="I302" s="189" t="str">
        <f>IFERROR(_xlfn.XLOOKUP($A302,Input_Raw!$A:$A,Input_Raw!$CX:$CX),"")</f>
        <v/>
      </c>
      <c r="J302" s="189" t="str">
        <f>IFERROR(_xlfn.XLOOKUP($A302,Input_Raw!$A:$A,Input_Raw!$CZ:$CZ),"")</f>
        <v/>
      </c>
      <c r="K302" s="190" t="str">
        <f>IFERROR(_xlfn.XLOOKUP($A302,Input_Raw!$A:$A,Input_Raw!$DB:$DB),"")</f>
        <v/>
      </c>
      <c r="L302" s="190" t="str">
        <f>IFERROR(_xlfn.XLOOKUP($A302,Input_Raw!$A:$A,Input_Raw!$DC:$DC),"")</f>
        <v/>
      </c>
      <c r="M302" s="189" t="str">
        <f>IFERROR(_xlfn.XLOOKUP($A302,Input_Raw!$A:$A,Input_Raw!$DF:$DF),"")</f>
        <v/>
      </c>
      <c r="N302" s="189" t="str">
        <f>IFERROR(_xlfn.XLOOKUP($A302,Input_Raw!$A:$A,Input_Raw!$DG:$DG),"")</f>
        <v/>
      </c>
      <c r="O302" s="219" t="str">
        <f>IFERROR(1-(SUMIF(Plant_BD!$B:$B,$A302,Plant_BD!$AL:$AL)/($AA302+SUMIF(Plant_BD!$B:$B,$A302,Plant_BD!$AL:$AL))),"")</f>
        <v/>
      </c>
      <c r="P302" s="219"/>
      <c r="Q302" s="220" t="str">
        <f>IFERROR(1-(SUMIF(Grid_BD!$B:$B,$A302,Grid_BD!$V:$V)/($AA302+SUMIF(Grid_BD!$B:$B,$A302,Grid_BD!$V:$V))),"")</f>
        <v/>
      </c>
      <c r="R302" s="219" t="str">
        <f>IFERROR(1-(SUMIF(Grid_BD!$B:$B,$A302,Grid_BD!$V:$V)/($AA302+SUMIF(Grid_BD!$B:$B,$A302,Grid_BD!$V:$V))),"")</f>
        <v/>
      </c>
      <c r="S302" s="9"/>
      <c r="T302" s="220"/>
      <c r="U302" s="221" t="str">
        <f t="shared" si="26"/>
        <v/>
      </c>
      <c r="V302" s="221" t="str">
        <f>IFERROR(_xlfn.XLOOKUP($A302,Input_Raw!$A:$A,Input_Raw!$FG:$FG),"")</f>
        <v/>
      </c>
      <c r="W302" s="222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78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22">
        <f>IFERROR(_xlfn.XLOOKUP($D302,'Modelling New'!$D:$D,'Modelling New'!O:O),"")</f>
        <v>0.85614594057129279</v>
      </c>
      <c r="AF302" s="222">
        <f>IFERROR(_xlfn.XLOOKUP($D302,'Modelling New'!$D:$D,'Modelling New'!W:W),"")</f>
        <v>0.19677547827646649</v>
      </c>
      <c r="AG302" s="222">
        <f>IFERROR(_xlfn.XLOOKUP($D302,'Modelling New'!$D:$D,'Modelling New'!AE:AE),"")</f>
        <v>0.995</v>
      </c>
      <c r="AH302" s="222">
        <f>IFERROR(_xlfn.XLOOKUP($D302,'Modelling New'!$D:$D,'Modelling New'!AF:AF),"")</f>
        <v>0.995</v>
      </c>
      <c r="AI302" s="9"/>
      <c r="AJ302" s="9"/>
      <c r="AK302" s="245"/>
      <c r="AL302" s="245"/>
      <c r="AM302" s="245"/>
      <c r="AN302" s="219"/>
      <c r="AO302" s="222"/>
      <c r="AP302" s="222"/>
      <c r="AQ302" s="222"/>
      <c r="AR302" s="223">
        <f>_xlfn.XLOOKUP(D302,'Modelling New'!$D:$D,'Modelling New'!$N:$N)</f>
        <v>130</v>
      </c>
      <c r="AS302" s="223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18">
        <f>Table13[[#This Row],[Date]]-DAY(Table13[[#This Row],[Date]])+1</f>
        <v>46023</v>
      </c>
      <c r="E303" s="9">
        <f t="shared" si="25"/>
        <v>31</v>
      </c>
      <c r="F303" s="188" t="str">
        <f>IFERROR(_xlfn.XLOOKUP($A303,Input_Raw!$A:$A,Input_Raw!$FC:$FC),"")</f>
        <v/>
      </c>
      <c r="G303" s="178" t="str">
        <f>IFERROR(_xlfn.XLOOKUP($A303,Input_Raw!$A:$A,Input_Raw!$CY:$CY),"")</f>
        <v/>
      </c>
      <c r="H303" s="178" t="str">
        <f>IFERROR(_xlfn.XLOOKUP($A303,Input_Raw!$A:$A,Input_Raw!$DA:$DA),"")</f>
        <v/>
      </c>
      <c r="I303" s="178" t="str">
        <f>IFERROR(_xlfn.XLOOKUP($A303,Input_Raw!$A:$A,Input_Raw!$CX:$CX),"")</f>
        <v/>
      </c>
      <c r="J303" s="178" t="str">
        <f>IFERROR(_xlfn.XLOOKUP($A303,Input_Raw!$A:$A,Input_Raw!$CZ:$CZ),"")</f>
        <v/>
      </c>
      <c r="K303" s="190" t="str">
        <f>IFERROR(_xlfn.XLOOKUP($A303,Input_Raw!$A:$A,Input_Raw!$DB:$DB),"")</f>
        <v/>
      </c>
      <c r="L303" s="190" t="str">
        <f>IFERROR(_xlfn.XLOOKUP($A303,Input_Raw!$A:$A,Input_Raw!$DC:$DC),"")</f>
        <v/>
      </c>
      <c r="M303" s="189" t="str">
        <f>IFERROR(_xlfn.XLOOKUP($A303,Input_Raw!$A:$A,Input_Raw!$DF:$DF),"")</f>
        <v/>
      </c>
      <c r="N303" s="189" t="str">
        <f>IFERROR(_xlfn.XLOOKUP($A303,Input_Raw!$A:$A,Input_Raw!$DG:$DG),"")</f>
        <v/>
      </c>
      <c r="O303" s="219" t="str">
        <f>IFERROR(1-(SUMIF(Plant_BD!$B:$B,$A303,Plant_BD!$AL:$AL)/($AA303+SUMIF(Plant_BD!$B:$B,$A303,Plant_BD!$AL:$AL))),"")</f>
        <v/>
      </c>
      <c r="P303" s="219"/>
      <c r="Q303" s="220" t="str">
        <f>IFERROR(1-(SUMIF(Grid_BD!$B:$B,$A303,Grid_BD!$V:$V)/($AA303+SUMIF(Grid_BD!$B:$B,$A303,Grid_BD!$V:$V))),"")</f>
        <v/>
      </c>
      <c r="R303" s="219" t="str">
        <f>IFERROR(1-(SUMIF(Grid_BD!$B:$B,$A303,Grid_BD!$V:$V)/($AA303+SUMIF(Grid_BD!$B:$B,$A303,Grid_BD!$V:$V))),"")</f>
        <v/>
      </c>
      <c r="S303" s="9"/>
      <c r="T303" s="220"/>
      <c r="U303" s="221" t="str">
        <f t="shared" si="26"/>
        <v/>
      </c>
      <c r="V303" s="221" t="str">
        <f>IFERROR(_xlfn.XLOOKUP($A303,Input_Raw!$A:$A,Input_Raw!$FG:$FG),"")</f>
        <v/>
      </c>
      <c r="W303" s="222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78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22">
        <f>IFERROR(_xlfn.XLOOKUP($D303,'Modelling New'!$D:$D,'Modelling New'!O:O),"")</f>
        <v>0.85614594057129279</v>
      </c>
      <c r="AF303" s="222">
        <f>IFERROR(_xlfn.XLOOKUP($D303,'Modelling New'!$D:$D,'Modelling New'!W:W),"")</f>
        <v>0.19677547827646649</v>
      </c>
      <c r="AG303" s="222">
        <f>IFERROR(_xlfn.XLOOKUP($D303,'Modelling New'!$D:$D,'Modelling New'!AE:AE),"")</f>
        <v>0.995</v>
      </c>
      <c r="AH303" s="222">
        <f>IFERROR(_xlfn.XLOOKUP($D303,'Modelling New'!$D:$D,'Modelling New'!AF:AF),"")</f>
        <v>0.995</v>
      </c>
      <c r="AI303" s="9"/>
      <c r="AJ303" s="9"/>
      <c r="AK303" s="245"/>
      <c r="AL303" s="245"/>
      <c r="AM303" s="245"/>
      <c r="AN303" s="219"/>
      <c r="AO303" s="222"/>
      <c r="AP303" s="222"/>
      <c r="AQ303" s="222"/>
      <c r="AR303" s="223">
        <f>_xlfn.XLOOKUP(D303,'Modelling New'!$D:$D,'Modelling New'!$N:$N)</f>
        <v>130</v>
      </c>
      <c r="AS303" s="223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18">
        <f>Table13[[#This Row],[Date]]-DAY(Table13[[#This Row],[Date]])+1</f>
        <v>46023</v>
      </c>
      <c r="E304" s="9">
        <f t="shared" si="25"/>
        <v>31</v>
      </c>
      <c r="F304" s="188" t="str">
        <f>IFERROR(_xlfn.XLOOKUP($A304,Input_Raw!$A:$A,Input_Raw!$FC:$FC),"")</f>
        <v/>
      </c>
      <c r="G304" s="189" t="str">
        <f>IFERROR(_xlfn.XLOOKUP($A304,Input_Raw!$A:$A,Input_Raw!$CY:$CY),"")</f>
        <v/>
      </c>
      <c r="H304" s="189" t="str">
        <f>IFERROR(_xlfn.XLOOKUP($A304,Input_Raw!$A:$A,Input_Raw!$DA:$DA),"")</f>
        <v/>
      </c>
      <c r="I304" s="189" t="str">
        <f>IFERROR(_xlfn.XLOOKUP($A304,Input_Raw!$A:$A,Input_Raw!$CX:$CX),"")</f>
        <v/>
      </c>
      <c r="J304" s="189" t="str">
        <f>IFERROR(_xlfn.XLOOKUP($A304,Input_Raw!$A:$A,Input_Raw!$CZ:$CZ),"")</f>
        <v/>
      </c>
      <c r="K304" s="190" t="str">
        <f>IFERROR(_xlfn.XLOOKUP($A304,Input_Raw!$A:$A,Input_Raw!$DB:$DB),"")</f>
        <v/>
      </c>
      <c r="L304" s="190" t="str">
        <f>IFERROR(_xlfn.XLOOKUP($A304,Input_Raw!$A:$A,Input_Raw!$DC:$DC),"")</f>
        <v/>
      </c>
      <c r="M304" s="189" t="str">
        <f>IFERROR(_xlfn.XLOOKUP($A304,Input_Raw!$A:$A,Input_Raw!$DF:$DF),"")</f>
        <v/>
      </c>
      <c r="N304" s="189" t="str">
        <f>IFERROR(_xlfn.XLOOKUP($A304,Input_Raw!$A:$A,Input_Raw!$DG:$DG),"")</f>
        <v/>
      </c>
      <c r="O304" s="219" t="str">
        <f>IFERROR(1-(SUMIF(Plant_BD!$B:$B,$A304,Plant_BD!$AL:$AL)/($AA304+SUMIF(Plant_BD!$B:$B,$A304,Plant_BD!$AL:$AL))),"")</f>
        <v/>
      </c>
      <c r="P304" s="219"/>
      <c r="Q304" s="220" t="str">
        <f>IFERROR(1-(SUMIF(Grid_BD!$B:$B,$A304,Grid_BD!$V:$V)/($AA304+SUMIF(Grid_BD!$B:$B,$A304,Grid_BD!$V:$V))),"")</f>
        <v/>
      </c>
      <c r="R304" s="219" t="str">
        <f>IFERROR(1-(SUMIF(Grid_BD!$B:$B,$A304,Grid_BD!$V:$V)/($AA304+SUMIF(Grid_BD!$B:$B,$A304,Grid_BD!$V:$V))),"")</f>
        <v/>
      </c>
      <c r="S304" s="9"/>
      <c r="T304" s="220"/>
      <c r="U304" s="221" t="str">
        <f t="shared" si="26"/>
        <v/>
      </c>
      <c r="V304" s="221" t="str">
        <f>IFERROR(_xlfn.XLOOKUP($A304,Input_Raw!$A:$A,Input_Raw!$FG:$FG),"")</f>
        <v/>
      </c>
      <c r="W304" s="222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78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22">
        <f>IFERROR(_xlfn.XLOOKUP($D304,'Modelling New'!$D:$D,'Modelling New'!O:O),"")</f>
        <v>0.85614594057129279</v>
      </c>
      <c r="AF304" s="222">
        <f>IFERROR(_xlfn.XLOOKUP($D304,'Modelling New'!$D:$D,'Modelling New'!W:W),"")</f>
        <v>0.19677547827646649</v>
      </c>
      <c r="AG304" s="222">
        <f>IFERROR(_xlfn.XLOOKUP($D304,'Modelling New'!$D:$D,'Modelling New'!AE:AE),"")</f>
        <v>0.995</v>
      </c>
      <c r="AH304" s="222">
        <f>IFERROR(_xlfn.XLOOKUP($D304,'Modelling New'!$D:$D,'Modelling New'!AF:AF),"")</f>
        <v>0.995</v>
      </c>
      <c r="AI304" s="9"/>
      <c r="AJ304" s="9"/>
      <c r="AK304" s="245"/>
      <c r="AL304" s="245"/>
      <c r="AM304" s="245"/>
      <c r="AN304" s="219"/>
      <c r="AO304" s="222"/>
      <c r="AP304" s="222"/>
      <c r="AQ304" s="222"/>
      <c r="AR304" s="223">
        <f>_xlfn.XLOOKUP(D304,'Modelling New'!$D:$D,'Modelling New'!$N:$N)</f>
        <v>130</v>
      </c>
      <c r="AS304" s="223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18">
        <f>Table13[[#This Row],[Date]]-DAY(Table13[[#This Row],[Date]])+1</f>
        <v>46023</v>
      </c>
      <c r="E305" s="9">
        <f t="shared" si="25"/>
        <v>31</v>
      </c>
      <c r="F305" s="188" t="str">
        <f>IFERROR(_xlfn.XLOOKUP($A305,Input_Raw!$A:$A,Input_Raw!$FC:$FC),"")</f>
        <v/>
      </c>
      <c r="G305" s="178" t="str">
        <f>IFERROR(_xlfn.XLOOKUP($A305,Input_Raw!$A:$A,Input_Raw!$CY:$CY),"")</f>
        <v/>
      </c>
      <c r="H305" s="178" t="str">
        <f>IFERROR(_xlfn.XLOOKUP($A305,Input_Raw!$A:$A,Input_Raw!$DA:$DA),"")</f>
        <v/>
      </c>
      <c r="I305" s="178" t="str">
        <f>IFERROR(_xlfn.XLOOKUP($A305,Input_Raw!$A:$A,Input_Raw!$CX:$CX),"")</f>
        <v/>
      </c>
      <c r="J305" s="178" t="str">
        <f>IFERROR(_xlfn.XLOOKUP($A305,Input_Raw!$A:$A,Input_Raw!$CZ:$CZ),"")</f>
        <v/>
      </c>
      <c r="K305" s="190" t="str">
        <f>IFERROR(_xlfn.XLOOKUP($A305,Input_Raw!$A:$A,Input_Raw!$DB:$DB),"")</f>
        <v/>
      </c>
      <c r="L305" s="190" t="str">
        <f>IFERROR(_xlfn.XLOOKUP($A305,Input_Raw!$A:$A,Input_Raw!$DC:$DC),"")</f>
        <v/>
      </c>
      <c r="M305" s="189" t="str">
        <f>IFERROR(_xlfn.XLOOKUP($A305,Input_Raw!$A:$A,Input_Raw!$DF:$DF),"")</f>
        <v/>
      </c>
      <c r="N305" s="189" t="str">
        <f>IFERROR(_xlfn.XLOOKUP($A305,Input_Raw!$A:$A,Input_Raw!$DG:$DG),"")</f>
        <v/>
      </c>
      <c r="O305" s="219" t="str">
        <f>IFERROR(1-(SUMIF(Plant_BD!$B:$B,$A305,Plant_BD!$AL:$AL)/($AA305+SUMIF(Plant_BD!$B:$B,$A305,Plant_BD!$AL:$AL))),"")</f>
        <v/>
      </c>
      <c r="P305" s="219"/>
      <c r="Q305" s="220" t="str">
        <f>IFERROR(1-(SUMIF(Grid_BD!$B:$B,$A305,Grid_BD!$V:$V)/($AA305+SUMIF(Grid_BD!$B:$B,$A305,Grid_BD!$V:$V))),"")</f>
        <v/>
      </c>
      <c r="R305" s="219" t="str">
        <f>IFERROR(1-(SUMIF(Grid_BD!$B:$B,$A305,Grid_BD!$V:$V)/($AA305+SUMIF(Grid_BD!$B:$B,$A305,Grid_BD!$V:$V))),"")</f>
        <v/>
      </c>
      <c r="S305" s="9"/>
      <c r="T305" s="220"/>
      <c r="U305" s="221" t="str">
        <f t="shared" si="26"/>
        <v/>
      </c>
      <c r="V305" s="221" t="str">
        <f>IFERROR(_xlfn.XLOOKUP($A305,Input_Raw!$A:$A,Input_Raw!$FG:$FG),"")</f>
        <v/>
      </c>
      <c r="W305" s="222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78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22">
        <f>IFERROR(_xlfn.XLOOKUP($D305,'Modelling New'!$D:$D,'Modelling New'!O:O),"")</f>
        <v>0.85614594057129279</v>
      </c>
      <c r="AF305" s="222">
        <f>IFERROR(_xlfn.XLOOKUP($D305,'Modelling New'!$D:$D,'Modelling New'!W:W),"")</f>
        <v>0.19677547827646649</v>
      </c>
      <c r="AG305" s="222">
        <f>IFERROR(_xlfn.XLOOKUP($D305,'Modelling New'!$D:$D,'Modelling New'!AE:AE),"")</f>
        <v>0.995</v>
      </c>
      <c r="AH305" s="222">
        <f>IFERROR(_xlfn.XLOOKUP($D305,'Modelling New'!$D:$D,'Modelling New'!AF:AF),"")</f>
        <v>0.995</v>
      </c>
      <c r="AI305" s="9"/>
      <c r="AJ305" s="9"/>
      <c r="AK305" s="245"/>
      <c r="AL305" s="245"/>
      <c r="AM305" s="245"/>
      <c r="AN305" s="219"/>
      <c r="AO305" s="222"/>
      <c r="AP305" s="222"/>
      <c r="AQ305" s="222"/>
      <c r="AR305" s="223">
        <f>_xlfn.XLOOKUP(D305,'Modelling New'!$D:$D,'Modelling New'!$N:$N)</f>
        <v>130</v>
      </c>
      <c r="AS305" s="223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18">
        <f>Table13[[#This Row],[Date]]-DAY(Table13[[#This Row],[Date]])+1</f>
        <v>46023</v>
      </c>
      <c r="E306" s="9">
        <f t="shared" si="25"/>
        <v>31</v>
      </c>
      <c r="F306" s="188" t="str">
        <f>IFERROR(_xlfn.XLOOKUP($A306,Input_Raw!$A:$A,Input_Raw!$FC:$FC),"")</f>
        <v/>
      </c>
      <c r="G306" s="189" t="str">
        <f>IFERROR(_xlfn.XLOOKUP($A306,Input_Raw!$A:$A,Input_Raw!$CY:$CY),"")</f>
        <v/>
      </c>
      <c r="H306" s="189" t="str">
        <f>IFERROR(_xlfn.XLOOKUP($A306,Input_Raw!$A:$A,Input_Raw!$DA:$DA),"")</f>
        <v/>
      </c>
      <c r="I306" s="189" t="str">
        <f>IFERROR(_xlfn.XLOOKUP($A306,Input_Raw!$A:$A,Input_Raw!$CX:$CX),"")</f>
        <v/>
      </c>
      <c r="J306" s="189" t="str">
        <f>IFERROR(_xlfn.XLOOKUP($A306,Input_Raw!$A:$A,Input_Raw!$CZ:$CZ),"")</f>
        <v/>
      </c>
      <c r="K306" s="190" t="str">
        <f>IFERROR(_xlfn.XLOOKUP($A306,Input_Raw!$A:$A,Input_Raw!$DB:$DB),"")</f>
        <v/>
      </c>
      <c r="L306" s="190" t="str">
        <f>IFERROR(_xlfn.XLOOKUP($A306,Input_Raw!$A:$A,Input_Raw!$DC:$DC),"")</f>
        <v/>
      </c>
      <c r="M306" s="189" t="str">
        <f>IFERROR(_xlfn.XLOOKUP($A306,Input_Raw!$A:$A,Input_Raw!$DF:$DF),"")</f>
        <v/>
      </c>
      <c r="N306" s="189" t="str">
        <f>IFERROR(_xlfn.XLOOKUP($A306,Input_Raw!$A:$A,Input_Raw!$DG:$DG),"")</f>
        <v/>
      </c>
      <c r="O306" s="219" t="str">
        <f>IFERROR(1-(SUMIF(Plant_BD!$B:$B,$A306,Plant_BD!$AL:$AL)/($AA306+SUMIF(Plant_BD!$B:$B,$A306,Plant_BD!$AL:$AL))),"")</f>
        <v/>
      </c>
      <c r="P306" s="219"/>
      <c r="Q306" s="220" t="str">
        <f>IFERROR(1-(SUMIF(Grid_BD!$B:$B,$A306,Grid_BD!$V:$V)/($AA306+SUMIF(Grid_BD!$B:$B,$A306,Grid_BD!$V:$V))),"")</f>
        <v/>
      </c>
      <c r="R306" s="219" t="str">
        <f>IFERROR(1-(SUMIF(Grid_BD!$B:$B,$A306,Grid_BD!$V:$V)/($AA306+SUMIF(Grid_BD!$B:$B,$A306,Grid_BD!$V:$V))),"")</f>
        <v/>
      </c>
      <c r="S306" s="9"/>
      <c r="T306" s="220"/>
      <c r="U306" s="221" t="str">
        <f t="shared" si="26"/>
        <v/>
      </c>
      <c r="V306" s="221" t="str">
        <f>IFERROR(_xlfn.XLOOKUP($A306,Input_Raw!$A:$A,Input_Raw!$FG:$FG),"")</f>
        <v/>
      </c>
      <c r="W306" s="222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78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22">
        <f>IFERROR(_xlfn.XLOOKUP($D306,'Modelling New'!$D:$D,'Modelling New'!O:O),"")</f>
        <v>0.85614594057129279</v>
      </c>
      <c r="AF306" s="222">
        <f>IFERROR(_xlfn.XLOOKUP($D306,'Modelling New'!$D:$D,'Modelling New'!W:W),"")</f>
        <v>0.19677547827646649</v>
      </c>
      <c r="AG306" s="222">
        <f>IFERROR(_xlfn.XLOOKUP($D306,'Modelling New'!$D:$D,'Modelling New'!AE:AE),"")</f>
        <v>0.995</v>
      </c>
      <c r="AH306" s="222">
        <f>IFERROR(_xlfn.XLOOKUP($D306,'Modelling New'!$D:$D,'Modelling New'!AF:AF),"")</f>
        <v>0.995</v>
      </c>
      <c r="AI306" s="9"/>
      <c r="AJ306" s="9"/>
      <c r="AK306" s="245"/>
      <c r="AL306" s="245"/>
      <c r="AM306" s="245"/>
      <c r="AN306" s="219"/>
      <c r="AO306" s="222"/>
      <c r="AP306" s="222"/>
      <c r="AQ306" s="222"/>
      <c r="AR306" s="223">
        <f>_xlfn.XLOOKUP(D306,'Modelling New'!$D:$D,'Modelling New'!$N:$N)</f>
        <v>130</v>
      </c>
      <c r="AS306" s="223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18">
        <f>Table13[[#This Row],[Date]]-DAY(Table13[[#This Row],[Date]])+1</f>
        <v>46023</v>
      </c>
      <c r="E307" s="9">
        <f t="shared" si="25"/>
        <v>31</v>
      </c>
      <c r="F307" s="188" t="str">
        <f>IFERROR(_xlfn.XLOOKUP($A307,Input_Raw!$A:$A,Input_Raw!$FC:$FC),"")</f>
        <v/>
      </c>
      <c r="G307" s="178" t="str">
        <f>IFERROR(_xlfn.XLOOKUP($A307,Input_Raw!$A:$A,Input_Raw!$CY:$CY),"")</f>
        <v/>
      </c>
      <c r="H307" s="178" t="str">
        <f>IFERROR(_xlfn.XLOOKUP($A307,Input_Raw!$A:$A,Input_Raw!$DA:$DA),"")</f>
        <v/>
      </c>
      <c r="I307" s="178" t="str">
        <f>IFERROR(_xlfn.XLOOKUP($A307,Input_Raw!$A:$A,Input_Raw!$CX:$CX),"")</f>
        <v/>
      </c>
      <c r="J307" s="178" t="str">
        <f>IFERROR(_xlfn.XLOOKUP($A307,Input_Raw!$A:$A,Input_Raw!$CZ:$CZ),"")</f>
        <v/>
      </c>
      <c r="K307" s="190" t="str">
        <f>IFERROR(_xlfn.XLOOKUP($A307,Input_Raw!$A:$A,Input_Raw!$DB:$DB),"")</f>
        <v/>
      </c>
      <c r="L307" s="190" t="str">
        <f>IFERROR(_xlfn.XLOOKUP($A307,Input_Raw!$A:$A,Input_Raw!$DC:$DC),"")</f>
        <v/>
      </c>
      <c r="M307" s="189" t="str">
        <f>IFERROR(_xlfn.XLOOKUP($A307,Input_Raw!$A:$A,Input_Raw!$DF:$DF),"")</f>
        <v/>
      </c>
      <c r="N307" s="189" t="str">
        <f>IFERROR(_xlfn.XLOOKUP($A307,Input_Raw!$A:$A,Input_Raw!$DG:$DG),"")</f>
        <v/>
      </c>
      <c r="O307" s="219" t="str">
        <f>IFERROR(1-(SUMIF(Plant_BD!$B:$B,$A307,Plant_BD!$AL:$AL)/($AA307+SUMIF(Plant_BD!$B:$B,$A307,Plant_BD!$AL:$AL))),"")</f>
        <v/>
      </c>
      <c r="P307" s="219"/>
      <c r="Q307" s="220" t="str">
        <f>IFERROR(1-(SUMIF(Grid_BD!$B:$B,$A307,Grid_BD!$V:$V)/($AA307+SUMIF(Grid_BD!$B:$B,$A307,Grid_BD!$V:$V))),"")</f>
        <v/>
      </c>
      <c r="R307" s="219" t="str">
        <f>IFERROR(1-(SUMIF(Grid_BD!$B:$B,$A307,Grid_BD!$V:$V)/($AA307+SUMIF(Grid_BD!$B:$B,$A307,Grid_BD!$V:$V))),"")</f>
        <v/>
      </c>
      <c r="S307" s="9"/>
      <c r="T307" s="220"/>
      <c r="U307" s="221" t="str">
        <f t="shared" si="26"/>
        <v/>
      </c>
      <c r="V307" s="221" t="str">
        <f>IFERROR(_xlfn.XLOOKUP($A307,Input_Raw!$A:$A,Input_Raw!$FG:$FG),"")</f>
        <v/>
      </c>
      <c r="W307" s="222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78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22">
        <f>IFERROR(_xlfn.XLOOKUP($D307,'Modelling New'!$D:$D,'Modelling New'!O:O),"")</f>
        <v>0.85614594057129279</v>
      </c>
      <c r="AF307" s="222">
        <f>IFERROR(_xlfn.XLOOKUP($D307,'Modelling New'!$D:$D,'Modelling New'!W:W),"")</f>
        <v>0.19677547827646649</v>
      </c>
      <c r="AG307" s="222">
        <f>IFERROR(_xlfn.XLOOKUP($D307,'Modelling New'!$D:$D,'Modelling New'!AE:AE),"")</f>
        <v>0.995</v>
      </c>
      <c r="AH307" s="222">
        <f>IFERROR(_xlfn.XLOOKUP($D307,'Modelling New'!$D:$D,'Modelling New'!AF:AF),"")</f>
        <v>0.995</v>
      </c>
      <c r="AI307" s="9"/>
      <c r="AJ307" s="9"/>
      <c r="AK307" s="245"/>
      <c r="AL307" s="245"/>
      <c r="AM307" s="245"/>
      <c r="AN307" s="219"/>
      <c r="AO307" s="222"/>
      <c r="AP307" s="222"/>
      <c r="AQ307" s="222"/>
      <c r="AR307" s="223">
        <f>_xlfn.XLOOKUP(D307,'Modelling New'!$D:$D,'Modelling New'!$N:$N)</f>
        <v>130</v>
      </c>
      <c r="AS307" s="223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18">
        <f>Table13[[#This Row],[Date]]-DAY(Table13[[#This Row],[Date]])+1</f>
        <v>46023</v>
      </c>
      <c r="E308" s="9">
        <f t="shared" si="25"/>
        <v>31</v>
      </c>
      <c r="F308" s="188" t="str">
        <f>IFERROR(_xlfn.XLOOKUP($A308,Input_Raw!$A:$A,Input_Raw!$FC:$FC),"")</f>
        <v/>
      </c>
      <c r="G308" s="189" t="str">
        <f>IFERROR(_xlfn.XLOOKUP($A308,Input_Raw!$A:$A,Input_Raw!$CY:$CY),"")</f>
        <v/>
      </c>
      <c r="H308" s="189" t="str">
        <f>IFERROR(_xlfn.XLOOKUP($A308,Input_Raw!$A:$A,Input_Raw!$DA:$DA),"")</f>
        <v/>
      </c>
      <c r="I308" s="189" t="str">
        <f>IFERROR(_xlfn.XLOOKUP($A308,Input_Raw!$A:$A,Input_Raw!$CX:$CX),"")</f>
        <v/>
      </c>
      <c r="J308" s="189" t="str">
        <f>IFERROR(_xlfn.XLOOKUP($A308,Input_Raw!$A:$A,Input_Raw!$CZ:$CZ),"")</f>
        <v/>
      </c>
      <c r="K308" s="190" t="str">
        <f>IFERROR(_xlfn.XLOOKUP($A308,Input_Raw!$A:$A,Input_Raw!$DB:$DB),"")</f>
        <v/>
      </c>
      <c r="L308" s="190" t="str">
        <f>IFERROR(_xlfn.XLOOKUP($A308,Input_Raw!$A:$A,Input_Raw!$DC:$DC),"")</f>
        <v/>
      </c>
      <c r="M308" s="189" t="str">
        <f>IFERROR(_xlfn.XLOOKUP($A308,Input_Raw!$A:$A,Input_Raw!$DF:$DF),"")</f>
        <v/>
      </c>
      <c r="N308" s="189" t="str">
        <f>IFERROR(_xlfn.XLOOKUP($A308,Input_Raw!$A:$A,Input_Raw!$DG:$DG),"")</f>
        <v/>
      </c>
      <c r="O308" s="219" t="str">
        <f>IFERROR(1-(SUMIF(Plant_BD!$B:$B,$A308,Plant_BD!$AL:$AL)/($AA308+SUMIF(Plant_BD!$B:$B,$A308,Plant_BD!$AL:$AL))),"")</f>
        <v/>
      </c>
      <c r="P308" s="219"/>
      <c r="Q308" s="220" t="str">
        <f>IFERROR(1-(SUMIF(Grid_BD!$B:$B,$A308,Grid_BD!$V:$V)/($AA308+SUMIF(Grid_BD!$B:$B,$A308,Grid_BD!$V:$V))),"")</f>
        <v/>
      </c>
      <c r="R308" s="219" t="str">
        <f>IFERROR(1-(SUMIF(Grid_BD!$B:$B,$A308,Grid_BD!$V:$V)/($AA308+SUMIF(Grid_BD!$B:$B,$A308,Grid_BD!$V:$V))),"")</f>
        <v/>
      </c>
      <c r="S308" s="9"/>
      <c r="T308" s="220"/>
      <c r="U308" s="221" t="str">
        <f t="shared" si="26"/>
        <v/>
      </c>
      <c r="V308" s="221" t="str">
        <f>IFERROR(_xlfn.XLOOKUP($A308,Input_Raw!$A:$A,Input_Raw!$FG:$FG),"")</f>
        <v/>
      </c>
      <c r="W308" s="222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78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22">
        <f>IFERROR(_xlfn.XLOOKUP($D308,'Modelling New'!$D:$D,'Modelling New'!O:O),"")</f>
        <v>0.85614594057129279</v>
      </c>
      <c r="AF308" s="222">
        <f>IFERROR(_xlfn.XLOOKUP($D308,'Modelling New'!$D:$D,'Modelling New'!W:W),"")</f>
        <v>0.19677547827646649</v>
      </c>
      <c r="AG308" s="222">
        <f>IFERROR(_xlfn.XLOOKUP($D308,'Modelling New'!$D:$D,'Modelling New'!AE:AE),"")</f>
        <v>0.995</v>
      </c>
      <c r="AH308" s="222">
        <f>IFERROR(_xlfn.XLOOKUP($D308,'Modelling New'!$D:$D,'Modelling New'!AF:AF),"")</f>
        <v>0.995</v>
      </c>
      <c r="AI308" s="9"/>
      <c r="AJ308" s="9"/>
      <c r="AK308" s="245"/>
      <c r="AL308" s="245"/>
      <c r="AM308" s="245"/>
      <c r="AN308" s="219"/>
      <c r="AO308" s="222"/>
      <c r="AP308" s="222"/>
      <c r="AQ308" s="222"/>
      <c r="AR308" s="223">
        <f>_xlfn.XLOOKUP(D308,'Modelling New'!$D:$D,'Modelling New'!$N:$N)</f>
        <v>130</v>
      </c>
      <c r="AS308" s="223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18">
        <f>Table13[[#This Row],[Date]]-DAY(Table13[[#This Row],[Date]])+1</f>
        <v>46023</v>
      </c>
      <c r="E309" s="9">
        <f t="shared" si="25"/>
        <v>31</v>
      </c>
      <c r="F309" s="188" t="str">
        <f>IFERROR(_xlfn.XLOOKUP($A309,Input_Raw!$A:$A,Input_Raw!$FC:$FC),"")</f>
        <v/>
      </c>
      <c r="G309" s="178" t="str">
        <f>IFERROR(_xlfn.XLOOKUP($A309,Input_Raw!$A:$A,Input_Raw!$CY:$CY),"")</f>
        <v/>
      </c>
      <c r="H309" s="178" t="str">
        <f>IFERROR(_xlfn.XLOOKUP($A309,Input_Raw!$A:$A,Input_Raw!$DA:$DA),"")</f>
        <v/>
      </c>
      <c r="I309" s="178" t="str">
        <f>IFERROR(_xlfn.XLOOKUP($A309,Input_Raw!$A:$A,Input_Raw!$CX:$CX),"")</f>
        <v/>
      </c>
      <c r="J309" s="178" t="str">
        <f>IFERROR(_xlfn.XLOOKUP($A309,Input_Raw!$A:$A,Input_Raw!$CZ:$CZ),"")</f>
        <v/>
      </c>
      <c r="K309" s="190" t="str">
        <f>IFERROR(_xlfn.XLOOKUP($A309,Input_Raw!$A:$A,Input_Raw!$DB:$DB),"")</f>
        <v/>
      </c>
      <c r="L309" s="190" t="str">
        <f>IFERROR(_xlfn.XLOOKUP($A309,Input_Raw!$A:$A,Input_Raw!$DC:$DC),"")</f>
        <v/>
      </c>
      <c r="M309" s="189" t="str">
        <f>IFERROR(_xlfn.XLOOKUP($A309,Input_Raw!$A:$A,Input_Raw!$DF:$DF),"")</f>
        <v/>
      </c>
      <c r="N309" s="189" t="str">
        <f>IFERROR(_xlfn.XLOOKUP($A309,Input_Raw!$A:$A,Input_Raw!$DG:$DG),"")</f>
        <v/>
      </c>
      <c r="O309" s="219" t="str">
        <f>IFERROR(1-(SUMIF(Plant_BD!$B:$B,$A309,Plant_BD!$AL:$AL)/($AA309+SUMIF(Plant_BD!$B:$B,$A309,Plant_BD!$AL:$AL))),"")</f>
        <v/>
      </c>
      <c r="P309" s="219"/>
      <c r="Q309" s="220" t="str">
        <f>IFERROR(1-(SUMIF(Grid_BD!$B:$B,$A309,Grid_BD!$V:$V)/($AA309+SUMIF(Grid_BD!$B:$B,$A309,Grid_BD!$V:$V))),"")</f>
        <v/>
      </c>
      <c r="R309" s="219" t="str">
        <f>IFERROR(1-(SUMIF(Grid_BD!$B:$B,$A309,Grid_BD!$V:$V)/($AA309+SUMIF(Grid_BD!$B:$B,$A309,Grid_BD!$V:$V))),"")</f>
        <v/>
      </c>
      <c r="S309" s="9"/>
      <c r="T309" s="220"/>
      <c r="U309" s="221" t="str">
        <f t="shared" si="26"/>
        <v/>
      </c>
      <c r="V309" s="221" t="str">
        <f>IFERROR(_xlfn.XLOOKUP($A309,Input_Raw!$A:$A,Input_Raw!$FG:$FG),"")</f>
        <v/>
      </c>
      <c r="W309" s="222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78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22">
        <f>IFERROR(_xlfn.XLOOKUP($D309,'Modelling New'!$D:$D,'Modelling New'!O:O),"")</f>
        <v>0.85614594057129279</v>
      </c>
      <c r="AF309" s="222">
        <f>IFERROR(_xlfn.XLOOKUP($D309,'Modelling New'!$D:$D,'Modelling New'!W:W),"")</f>
        <v>0.19677547827646649</v>
      </c>
      <c r="AG309" s="222">
        <f>IFERROR(_xlfn.XLOOKUP($D309,'Modelling New'!$D:$D,'Modelling New'!AE:AE),"")</f>
        <v>0.995</v>
      </c>
      <c r="AH309" s="222">
        <f>IFERROR(_xlfn.XLOOKUP($D309,'Modelling New'!$D:$D,'Modelling New'!AF:AF),"")</f>
        <v>0.995</v>
      </c>
      <c r="AI309" s="9"/>
      <c r="AJ309" s="9"/>
      <c r="AK309" s="245"/>
      <c r="AL309" s="245"/>
      <c r="AM309" s="245"/>
      <c r="AN309" s="219"/>
      <c r="AO309" s="222"/>
      <c r="AP309" s="222"/>
      <c r="AQ309" s="222"/>
      <c r="AR309" s="223">
        <f>_xlfn.XLOOKUP(D309,'Modelling New'!$D:$D,'Modelling New'!$N:$N)</f>
        <v>130</v>
      </c>
      <c r="AS309" s="223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18">
        <f>Table13[[#This Row],[Date]]-DAY(Table13[[#This Row],[Date]])+1</f>
        <v>46023</v>
      </c>
      <c r="E310" s="9">
        <f t="shared" si="25"/>
        <v>31</v>
      </c>
      <c r="F310" s="188" t="str">
        <f>IFERROR(_xlfn.XLOOKUP($A310,Input_Raw!$A:$A,Input_Raw!$FC:$FC),"")</f>
        <v/>
      </c>
      <c r="G310" s="189" t="str">
        <f>IFERROR(_xlfn.XLOOKUP($A310,Input_Raw!$A:$A,Input_Raw!$CY:$CY),"")</f>
        <v/>
      </c>
      <c r="H310" s="189" t="str">
        <f>IFERROR(_xlfn.XLOOKUP($A310,Input_Raw!$A:$A,Input_Raw!$DA:$DA),"")</f>
        <v/>
      </c>
      <c r="I310" s="189" t="str">
        <f>IFERROR(_xlfn.XLOOKUP($A310,Input_Raw!$A:$A,Input_Raw!$CX:$CX),"")</f>
        <v/>
      </c>
      <c r="J310" s="189" t="str">
        <f>IFERROR(_xlfn.XLOOKUP($A310,Input_Raw!$A:$A,Input_Raw!$CZ:$CZ),"")</f>
        <v/>
      </c>
      <c r="K310" s="190" t="str">
        <f>IFERROR(_xlfn.XLOOKUP($A310,Input_Raw!$A:$A,Input_Raw!$DB:$DB),"")</f>
        <v/>
      </c>
      <c r="L310" s="190" t="str">
        <f>IFERROR(_xlfn.XLOOKUP($A310,Input_Raw!$A:$A,Input_Raw!$DC:$DC),"")</f>
        <v/>
      </c>
      <c r="M310" s="189" t="str">
        <f>IFERROR(_xlfn.XLOOKUP($A310,Input_Raw!$A:$A,Input_Raw!$DF:$DF),"")</f>
        <v/>
      </c>
      <c r="N310" s="189" t="str">
        <f>IFERROR(_xlfn.XLOOKUP($A310,Input_Raw!$A:$A,Input_Raw!$DG:$DG),"")</f>
        <v/>
      </c>
      <c r="O310" s="219" t="str">
        <f>IFERROR(1-(SUMIF(Plant_BD!$B:$B,$A310,Plant_BD!$AL:$AL)/($AA310+SUMIF(Plant_BD!$B:$B,$A310,Plant_BD!$AL:$AL))),"")</f>
        <v/>
      </c>
      <c r="P310" s="219"/>
      <c r="Q310" s="220" t="str">
        <f>IFERROR(1-(SUMIF(Grid_BD!$B:$B,$A310,Grid_BD!$V:$V)/($AA310+SUMIF(Grid_BD!$B:$B,$A310,Grid_BD!$V:$V))),"")</f>
        <v/>
      </c>
      <c r="R310" s="219" t="str">
        <f>IFERROR(1-(SUMIF(Grid_BD!$B:$B,$A310,Grid_BD!$V:$V)/($AA310+SUMIF(Grid_BD!$B:$B,$A310,Grid_BD!$V:$V))),"")</f>
        <v/>
      </c>
      <c r="S310" s="9"/>
      <c r="T310" s="220"/>
      <c r="U310" s="221" t="str">
        <f t="shared" si="26"/>
        <v/>
      </c>
      <c r="V310" s="221" t="str">
        <f>IFERROR(_xlfn.XLOOKUP($A310,Input_Raw!$A:$A,Input_Raw!$FG:$FG),"")</f>
        <v/>
      </c>
      <c r="W310" s="222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78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22">
        <f>IFERROR(_xlfn.XLOOKUP($D310,'Modelling New'!$D:$D,'Modelling New'!O:O),"")</f>
        <v>0.85614594057129279</v>
      </c>
      <c r="AF310" s="222">
        <f>IFERROR(_xlfn.XLOOKUP($D310,'Modelling New'!$D:$D,'Modelling New'!W:W),"")</f>
        <v>0.19677547827646649</v>
      </c>
      <c r="AG310" s="222">
        <f>IFERROR(_xlfn.XLOOKUP($D310,'Modelling New'!$D:$D,'Modelling New'!AE:AE),"")</f>
        <v>0.995</v>
      </c>
      <c r="AH310" s="222">
        <f>IFERROR(_xlfn.XLOOKUP($D310,'Modelling New'!$D:$D,'Modelling New'!AF:AF),"")</f>
        <v>0.995</v>
      </c>
      <c r="AI310" s="9"/>
      <c r="AJ310" s="9"/>
      <c r="AK310" s="245"/>
      <c r="AL310" s="245"/>
      <c r="AM310" s="245"/>
      <c r="AN310" s="219"/>
      <c r="AO310" s="222"/>
      <c r="AP310" s="222"/>
      <c r="AQ310" s="222"/>
      <c r="AR310" s="223">
        <f>_xlfn.XLOOKUP(D310,'Modelling New'!$D:$D,'Modelling New'!$N:$N)</f>
        <v>130</v>
      </c>
      <c r="AS310" s="223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18">
        <f>Table13[[#This Row],[Date]]-DAY(Table13[[#This Row],[Date]])+1</f>
        <v>46054</v>
      </c>
      <c r="E311" s="9">
        <f t="shared" si="25"/>
        <v>28</v>
      </c>
      <c r="F311" s="188" t="str">
        <f>IFERROR(_xlfn.XLOOKUP($A311,Input_Raw!$A:$A,Input_Raw!$FC:$FC),"")</f>
        <v/>
      </c>
      <c r="G311" s="178" t="str">
        <f>IFERROR(_xlfn.XLOOKUP($A311,Input_Raw!$A:$A,Input_Raw!$CY:$CY),"")</f>
        <v/>
      </c>
      <c r="H311" s="178" t="str">
        <f>IFERROR(_xlfn.XLOOKUP($A311,Input_Raw!$A:$A,Input_Raw!$DA:$DA),"")</f>
        <v/>
      </c>
      <c r="I311" s="178" t="str">
        <f>IFERROR(_xlfn.XLOOKUP($A311,Input_Raw!$A:$A,Input_Raw!$CX:$CX),"")</f>
        <v/>
      </c>
      <c r="J311" s="178" t="str">
        <f>IFERROR(_xlfn.XLOOKUP($A311,Input_Raw!$A:$A,Input_Raw!$CZ:$CZ),"")</f>
        <v/>
      </c>
      <c r="K311" s="190" t="str">
        <f>IFERROR(_xlfn.XLOOKUP($A311,Input_Raw!$A:$A,Input_Raw!$DB:$DB),"")</f>
        <v/>
      </c>
      <c r="L311" s="190" t="str">
        <f>IFERROR(_xlfn.XLOOKUP($A311,Input_Raw!$A:$A,Input_Raw!$DC:$DC),"")</f>
        <v/>
      </c>
      <c r="M311" s="189" t="str">
        <f>IFERROR(_xlfn.XLOOKUP($A311,Input_Raw!$A:$A,Input_Raw!$DF:$DF),"")</f>
        <v/>
      </c>
      <c r="N311" s="189" t="str">
        <f>IFERROR(_xlfn.XLOOKUP($A311,Input_Raw!$A:$A,Input_Raw!$DG:$DG),"")</f>
        <v/>
      </c>
      <c r="O311" s="219" t="str">
        <f>IFERROR(1-(SUMIF(Plant_BD!$B:$B,$A311,Plant_BD!$AL:$AL)/($AA311+SUMIF(Plant_BD!$B:$B,$A311,Plant_BD!$AL:$AL))),"")</f>
        <v/>
      </c>
      <c r="P311" s="219"/>
      <c r="Q311" s="220" t="str">
        <f>IFERROR(1-(SUMIF(Grid_BD!$B:$B,$A311,Grid_BD!$V:$V)/($AA311+SUMIF(Grid_BD!$B:$B,$A311,Grid_BD!$V:$V))),"")</f>
        <v/>
      </c>
      <c r="R311" s="219" t="str">
        <f>IFERROR(1-(SUMIF(Grid_BD!$B:$B,$A311,Grid_BD!$V:$V)/($AA311+SUMIF(Grid_BD!$B:$B,$A311,Grid_BD!$V:$V))),"")</f>
        <v/>
      </c>
      <c r="S311" s="9"/>
      <c r="T311" s="220"/>
      <c r="U311" s="221" t="str">
        <f t="shared" si="26"/>
        <v/>
      </c>
      <c r="V311" s="221" t="str">
        <f>IFERROR(_xlfn.XLOOKUP($A311,Input_Raw!$A:$A,Input_Raw!$FG:$FG),"")</f>
        <v/>
      </c>
      <c r="W311" s="222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78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22">
        <f>IFERROR(_xlfn.XLOOKUP($D311,'Modelling New'!$D:$D,'Modelling New'!O:O),"")</f>
        <v>0.8316109218354748</v>
      </c>
      <c r="AF311" s="222">
        <f>IFERROR(_xlfn.XLOOKUP($D311,'Modelling New'!$D:$D,'Modelling New'!W:W),"")</f>
        <v>0.21866912185763154</v>
      </c>
      <c r="AG311" s="222">
        <f>IFERROR(_xlfn.XLOOKUP($D311,'Modelling New'!$D:$D,'Modelling New'!AE:AE),"")</f>
        <v>0.995</v>
      </c>
      <c r="AH311" s="222">
        <f>IFERROR(_xlfn.XLOOKUP($D311,'Modelling New'!$D:$D,'Modelling New'!AF:AF),"")</f>
        <v>0.995</v>
      </c>
      <c r="AI311" s="9"/>
      <c r="AJ311" s="9"/>
      <c r="AK311" s="245"/>
      <c r="AL311" s="245"/>
      <c r="AM311" s="245"/>
      <c r="AN311" s="219"/>
      <c r="AO311" s="222"/>
      <c r="AP311" s="222"/>
      <c r="AQ311" s="222"/>
      <c r="AR311" s="223">
        <f>_xlfn.XLOOKUP(D311,'Modelling New'!$D:$D,'Modelling New'!$N:$N)</f>
        <v>130</v>
      </c>
      <c r="AS311" s="223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18">
        <f>Table13[[#This Row],[Date]]-DAY(Table13[[#This Row],[Date]])+1</f>
        <v>46054</v>
      </c>
      <c r="E312" s="9">
        <f t="shared" si="25"/>
        <v>28</v>
      </c>
      <c r="F312" s="188" t="str">
        <f>IFERROR(_xlfn.XLOOKUP($A312,Input_Raw!$A:$A,Input_Raw!$FC:$FC),"")</f>
        <v/>
      </c>
      <c r="G312" s="189" t="str">
        <f>IFERROR(_xlfn.XLOOKUP($A312,Input_Raw!$A:$A,Input_Raw!$CY:$CY),"")</f>
        <v/>
      </c>
      <c r="H312" s="189" t="str">
        <f>IFERROR(_xlfn.XLOOKUP($A312,Input_Raw!$A:$A,Input_Raw!$DA:$DA),"")</f>
        <v/>
      </c>
      <c r="I312" s="189" t="str">
        <f>IFERROR(_xlfn.XLOOKUP($A312,Input_Raw!$A:$A,Input_Raw!$CX:$CX),"")</f>
        <v/>
      </c>
      <c r="J312" s="189" t="str">
        <f>IFERROR(_xlfn.XLOOKUP($A312,Input_Raw!$A:$A,Input_Raw!$CZ:$CZ),"")</f>
        <v/>
      </c>
      <c r="K312" s="190" t="str">
        <f>IFERROR(_xlfn.XLOOKUP($A312,Input_Raw!$A:$A,Input_Raw!$DB:$DB),"")</f>
        <v/>
      </c>
      <c r="L312" s="190" t="str">
        <f>IFERROR(_xlfn.XLOOKUP($A312,Input_Raw!$A:$A,Input_Raw!$DC:$DC),"")</f>
        <v/>
      </c>
      <c r="M312" s="189" t="str">
        <f>IFERROR(_xlfn.XLOOKUP($A312,Input_Raw!$A:$A,Input_Raw!$DF:$DF),"")</f>
        <v/>
      </c>
      <c r="N312" s="189" t="str">
        <f>IFERROR(_xlfn.XLOOKUP($A312,Input_Raw!$A:$A,Input_Raw!$DG:$DG),"")</f>
        <v/>
      </c>
      <c r="O312" s="219" t="str">
        <f>IFERROR(1-(SUMIF(Plant_BD!$B:$B,$A312,Plant_BD!$AL:$AL)/($AA312+SUMIF(Plant_BD!$B:$B,$A312,Plant_BD!$AL:$AL))),"")</f>
        <v/>
      </c>
      <c r="P312" s="219"/>
      <c r="Q312" s="220" t="str">
        <f>IFERROR(1-(SUMIF(Grid_BD!$B:$B,$A312,Grid_BD!$V:$V)/($AA312+SUMIF(Grid_BD!$B:$B,$A312,Grid_BD!$V:$V))),"")</f>
        <v/>
      </c>
      <c r="R312" s="219" t="str">
        <f>IFERROR(1-(SUMIF(Grid_BD!$B:$B,$A312,Grid_BD!$V:$V)/($AA312+SUMIF(Grid_BD!$B:$B,$A312,Grid_BD!$V:$V))),"")</f>
        <v/>
      </c>
      <c r="S312" s="9"/>
      <c r="T312" s="220"/>
      <c r="U312" s="221" t="str">
        <f t="shared" si="26"/>
        <v/>
      </c>
      <c r="V312" s="221" t="str">
        <f>IFERROR(_xlfn.XLOOKUP($A312,Input_Raw!$A:$A,Input_Raw!$FG:$FG),"")</f>
        <v/>
      </c>
      <c r="W312" s="222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78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22">
        <f>IFERROR(_xlfn.XLOOKUP($D312,'Modelling New'!$D:$D,'Modelling New'!O:O),"")</f>
        <v>0.8316109218354748</v>
      </c>
      <c r="AF312" s="222">
        <f>IFERROR(_xlfn.XLOOKUP($D312,'Modelling New'!$D:$D,'Modelling New'!W:W),"")</f>
        <v>0.21866912185763154</v>
      </c>
      <c r="AG312" s="222">
        <f>IFERROR(_xlfn.XLOOKUP($D312,'Modelling New'!$D:$D,'Modelling New'!AE:AE),"")</f>
        <v>0.995</v>
      </c>
      <c r="AH312" s="222">
        <f>IFERROR(_xlfn.XLOOKUP($D312,'Modelling New'!$D:$D,'Modelling New'!AF:AF),"")</f>
        <v>0.995</v>
      </c>
      <c r="AI312" s="9"/>
      <c r="AJ312" s="9"/>
      <c r="AK312" s="245"/>
      <c r="AL312" s="245"/>
      <c r="AM312" s="245"/>
      <c r="AN312" s="219"/>
      <c r="AO312" s="222"/>
      <c r="AP312" s="222"/>
      <c r="AQ312" s="222"/>
      <c r="AR312" s="223">
        <f>_xlfn.XLOOKUP(D312,'Modelling New'!$D:$D,'Modelling New'!$N:$N)</f>
        <v>130</v>
      </c>
      <c r="AS312" s="223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18">
        <f>Table13[[#This Row],[Date]]-DAY(Table13[[#This Row],[Date]])+1</f>
        <v>46054</v>
      </c>
      <c r="E313" s="9">
        <f t="shared" si="25"/>
        <v>28</v>
      </c>
      <c r="F313" s="188" t="str">
        <f>IFERROR(_xlfn.XLOOKUP($A313,Input_Raw!$A:$A,Input_Raw!$FC:$FC),"")</f>
        <v/>
      </c>
      <c r="G313" s="178" t="str">
        <f>IFERROR(_xlfn.XLOOKUP($A313,Input_Raw!$A:$A,Input_Raw!$CY:$CY),"")</f>
        <v/>
      </c>
      <c r="H313" s="178" t="str">
        <f>IFERROR(_xlfn.XLOOKUP($A313,Input_Raw!$A:$A,Input_Raw!$DA:$DA),"")</f>
        <v/>
      </c>
      <c r="I313" s="178" t="str">
        <f>IFERROR(_xlfn.XLOOKUP($A313,Input_Raw!$A:$A,Input_Raw!$CX:$CX),"")</f>
        <v/>
      </c>
      <c r="J313" s="178" t="str">
        <f>IFERROR(_xlfn.XLOOKUP($A313,Input_Raw!$A:$A,Input_Raw!$CZ:$CZ),"")</f>
        <v/>
      </c>
      <c r="K313" s="190" t="str">
        <f>IFERROR(_xlfn.XLOOKUP($A313,Input_Raw!$A:$A,Input_Raw!$DB:$DB),"")</f>
        <v/>
      </c>
      <c r="L313" s="190" t="str">
        <f>IFERROR(_xlfn.XLOOKUP($A313,Input_Raw!$A:$A,Input_Raw!$DC:$DC),"")</f>
        <v/>
      </c>
      <c r="M313" s="189" t="str">
        <f>IFERROR(_xlfn.XLOOKUP($A313,Input_Raw!$A:$A,Input_Raw!$DF:$DF),"")</f>
        <v/>
      </c>
      <c r="N313" s="189" t="str">
        <f>IFERROR(_xlfn.XLOOKUP($A313,Input_Raw!$A:$A,Input_Raw!$DG:$DG),"")</f>
        <v/>
      </c>
      <c r="O313" s="219" t="str">
        <f>IFERROR(1-(SUMIF(Plant_BD!$B:$B,$A313,Plant_BD!$AL:$AL)/($AA313+SUMIF(Plant_BD!$B:$B,$A313,Plant_BD!$AL:$AL))),"")</f>
        <v/>
      </c>
      <c r="P313" s="219"/>
      <c r="Q313" s="220" t="str">
        <f>IFERROR(1-(SUMIF(Grid_BD!$B:$B,$A313,Grid_BD!$V:$V)/($AA313+SUMIF(Grid_BD!$B:$B,$A313,Grid_BD!$V:$V))),"")</f>
        <v/>
      </c>
      <c r="R313" s="219" t="str">
        <f>IFERROR(1-(SUMIF(Grid_BD!$B:$B,$A313,Grid_BD!$V:$V)/($AA313+SUMIF(Grid_BD!$B:$B,$A313,Grid_BD!$V:$V))),"")</f>
        <v/>
      </c>
      <c r="S313" s="9"/>
      <c r="T313" s="220"/>
      <c r="U313" s="221" t="str">
        <f t="shared" si="26"/>
        <v/>
      </c>
      <c r="V313" s="221" t="str">
        <f>IFERROR(_xlfn.XLOOKUP($A313,Input_Raw!$A:$A,Input_Raw!$FG:$FG),"")</f>
        <v/>
      </c>
      <c r="W313" s="222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78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22">
        <f>IFERROR(_xlfn.XLOOKUP($D313,'Modelling New'!$D:$D,'Modelling New'!O:O),"")</f>
        <v>0.8316109218354748</v>
      </c>
      <c r="AF313" s="222">
        <f>IFERROR(_xlfn.XLOOKUP($D313,'Modelling New'!$D:$D,'Modelling New'!W:W),"")</f>
        <v>0.21866912185763154</v>
      </c>
      <c r="AG313" s="222">
        <f>IFERROR(_xlfn.XLOOKUP($D313,'Modelling New'!$D:$D,'Modelling New'!AE:AE),"")</f>
        <v>0.995</v>
      </c>
      <c r="AH313" s="222">
        <f>IFERROR(_xlfn.XLOOKUP($D313,'Modelling New'!$D:$D,'Modelling New'!AF:AF),"")</f>
        <v>0.995</v>
      </c>
      <c r="AI313" s="9"/>
      <c r="AJ313" s="9"/>
      <c r="AK313" s="245"/>
      <c r="AL313" s="245"/>
      <c r="AM313" s="245"/>
      <c r="AN313" s="219"/>
      <c r="AO313" s="222"/>
      <c r="AP313" s="222"/>
      <c r="AQ313" s="222"/>
      <c r="AR313" s="223">
        <f>_xlfn.XLOOKUP(D313,'Modelling New'!$D:$D,'Modelling New'!$N:$N)</f>
        <v>130</v>
      </c>
      <c r="AS313" s="223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18">
        <f>Table13[[#This Row],[Date]]-DAY(Table13[[#This Row],[Date]])+1</f>
        <v>46054</v>
      </c>
      <c r="E314" s="9">
        <f t="shared" si="25"/>
        <v>28</v>
      </c>
      <c r="F314" s="188" t="str">
        <f>IFERROR(_xlfn.XLOOKUP($A314,Input_Raw!$A:$A,Input_Raw!$FC:$FC),"")</f>
        <v/>
      </c>
      <c r="G314" s="189" t="str">
        <f>IFERROR(_xlfn.XLOOKUP($A314,Input_Raw!$A:$A,Input_Raw!$CY:$CY),"")</f>
        <v/>
      </c>
      <c r="H314" s="189" t="str">
        <f>IFERROR(_xlfn.XLOOKUP($A314,Input_Raw!$A:$A,Input_Raw!$DA:$DA),"")</f>
        <v/>
      </c>
      <c r="I314" s="189" t="str">
        <f>IFERROR(_xlfn.XLOOKUP($A314,Input_Raw!$A:$A,Input_Raw!$CX:$CX),"")</f>
        <v/>
      </c>
      <c r="J314" s="189" t="str">
        <f>IFERROR(_xlfn.XLOOKUP($A314,Input_Raw!$A:$A,Input_Raw!$CZ:$CZ),"")</f>
        <v/>
      </c>
      <c r="K314" s="190" t="str">
        <f>IFERROR(_xlfn.XLOOKUP($A314,Input_Raw!$A:$A,Input_Raw!$DB:$DB),"")</f>
        <v/>
      </c>
      <c r="L314" s="190" t="str">
        <f>IFERROR(_xlfn.XLOOKUP($A314,Input_Raw!$A:$A,Input_Raw!$DC:$DC),"")</f>
        <v/>
      </c>
      <c r="M314" s="189" t="str">
        <f>IFERROR(_xlfn.XLOOKUP($A314,Input_Raw!$A:$A,Input_Raw!$DF:$DF),"")</f>
        <v/>
      </c>
      <c r="N314" s="189" t="str">
        <f>IFERROR(_xlfn.XLOOKUP($A314,Input_Raw!$A:$A,Input_Raw!$DG:$DG),"")</f>
        <v/>
      </c>
      <c r="O314" s="219" t="str">
        <f>IFERROR(1-(SUMIF(Plant_BD!$B:$B,$A314,Plant_BD!$AL:$AL)/($AA314+SUMIF(Plant_BD!$B:$B,$A314,Plant_BD!$AL:$AL))),"")</f>
        <v/>
      </c>
      <c r="P314" s="219"/>
      <c r="Q314" s="220" t="str">
        <f>IFERROR(1-(SUMIF(Grid_BD!$B:$B,$A314,Grid_BD!$V:$V)/($AA314+SUMIF(Grid_BD!$B:$B,$A314,Grid_BD!$V:$V))),"")</f>
        <v/>
      </c>
      <c r="R314" s="219" t="str">
        <f>IFERROR(1-(SUMIF(Grid_BD!$B:$B,$A314,Grid_BD!$V:$V)/($AA314+SUMIF(Grid_BD!$B:$B,$A314,Grid_BD!$V:$V))),"")</f>
        <v/>
      </c>
      <c r="S314" s="9"/>
      <c r="T314" s="220"/>
      <c r="U314" s="221" t="str">
        <f t="shared" si="26"/>
        <v/>
      </c>
      <c r="V314" s="221" t="str">
        <f>IFERROR(_xlfn.XLOOKUP($A314,Input_Raw!$A:$A,Input_Raw!$FG:$FG),"")</f>
        <v/>
      </c>
      <c r="W314" s="222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78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22">
        <f>IFERROR(_xlfn.XLOOKUP($D314,'Modelling New'!$D:$D,'Modelling New'!O:O),"")</f>
        <v>0.8316109218354748</v>
      </c>
      <c r="AF314" s="222">
        <f>IFERROR(_xlfn.XLOOKUP($D314,'Modelling New'!$D:$D,'Modelling New'!W:W),"")</f>
        <v>0.21866912185763154</v>
      </c>
      <c r="AG314" s="222">
        <f>IFERROR(_xlfn.XLOOKUP($D314,'Modelling New'!$D:$D,'Modelling New'!AE:AE),"")</f>
        <v>0.995</v>
      </c>
      <c r="AH314" s="222">
        <f>IFERROR(_xlfn.XLOOKUP($D314,'Modelling New'!$D:$D,'Modelling New'!AF:AF),"")</f>
        <v>0.995</v>
      </c>
      <c r="AI314" s="9"/>
      <c r="AJ314" s="9"/>
      <c r="AK314" s="245"/>
      <c r="AL314" s="245"/>
      <c r="AM314" s="245"/>
      <c r="AN314" s="219"/>
      <c r="AO314" s="222"/>
      <c r="AP314" s="222"/>
      <c r="AQ314" s="222"/>
      <c r="AR314" s="223">
        <f>_xlfn.XLOOKUP(D314,'Modelling New'!$D:$D,'Modelling New'!$N:$N)</f>
        <v>130</v>
      </c>
      <c r="AS314" s="223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18">
        <f>Table13[[#This Row],[Date]]-DAY(Table13[[#This Row],[Date]])+1</f>
        <v>46054</v>
      </c>
      <c r="E315" s="9">
        <f t="shared" si="25"/>
        <v>28</v>
      </c>
      <c r="F315" s="188" t="str">
        <f>IFERROR(_xlfn.XLOOKUP($A315,Input_Raw!$A:$A,Input_Raw!$FC:$FC),"")</f>
        <v/>
      </c>
      <c r="G315" s="178" t="str">
        <f>IFERROR(_xlfn.XLOOKUP($A315,Input_Raw!$A:$A,Input_Raw!$CY:$CY),"")</f>
        <v/>
      </c>
      <c r="H315" s="178" t="str">
        <f>IFERROR(_xlfn.XLOOKUP($A315,Input_Raw!$A:$A,Input_Raw!$DA:$DA),"")</f>
        <v/>
      </c>
      <c r="I315" s="178" t="str">
        <f>IFERROR(_xlfn.XLOOKUP($A315,Input_Raw!$A:$A,Input_Raw!$CX:$CX),"")</f>
        <v/>
      </c>
      <c r="J315" s="178" t="str">
        <f>IFERROR(_xlfn.XLOOKUP($A315,Input_Raw!$A:$A,Input_Raw!$CZ:$CZ),"")</f>
        <v/>
      </c>
      <c r="K315" s="190" t="str">
        <f>IFERROR(_xlfn.XLOOKUP($A315,Input_Raw!$A:$A,Input_Raw!$DB:$DB),"")</f>
        <v/>
      </c>
      <c r="L315" s="190" t="str">
        <f>IFERROR(_xlfn.XLOOKUP($A315,Input_Raw!$A:$A,Input_Raw!$DC:$DC),"")</f>
        <v/>
      </c>
      <c r="M315" s="189" t="str">
        <f>IFERROR(_xlfn.XLOOKUP($A315,Input_Raw!$A:$A,Input_Raw!$DF:$DF),"")</f>
        <v/>
      </c>
      <c r="N315" s="189" t="str">
        <f>IFERROR(_xlfn.XLOOKUP($A315,Input_Raw!$A:$A,Input_Raw!$DG:$DG),"")</f>
        <v/>
      </c>
      <c r="O315" s="219" t="str">
        <f>IFERROR(1-(SUMIF(Plant_BD!$B:$B,$A315,Plant_BD!$AL:$AL)/($AA315+SUMIF(Plant_BD!$B:$B,$A315,Plant_BD!$AL:$AL))),"")</f>
        <v/>
      </c>
      <c r="P315" s="219"/>
      <c r="Q315" s="220" t="str">
        <f>IFERROR(1-(SUMIF(Grid_BD!$B:$B,$A315,Grid_BD!$V:$V)/($AA315+SUMIF(Grid_BD!$B:$B,$A315,Grid_BD!$V:$V))),"")</f>
        <v/>
      </c>
      <c r="R315" s="219" t="str">
        <f>IFERROR(1-(SUMIF(Grid_BD!$B:$B,$A315,Grid_BD!$V:$V)/($AA315+SUMIF(Grid_BD!$B:$B,$A315,Grid_BD!$V:$V))),"")</f>
        <v/>
      </c>
      <c r="S315" s="9"/>
      <c r="T315" s="220"/>
      <c r="U315" s="221" t="str">
        <f t="shared" si="26"/>
        <v/>
      </c>
      <c r="V315" s="221" t="str">
        <f>IFERROR(_xlfn.XLOOKUP($A315,Input_Raw!$A:$A,Input_Raw!$FG:$FG),"")</f>
        <v/>
      </c>
      <c r="W315" s="222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78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22">
        <f>IFERROR(_xlfn.XLOOKUP($D315,'Modelling New'!$D:$D,'Modelling New'!O:O),"")</f>
        <v>0.8316109218354748</v>
      </c>
      <c r="AF315" s="222">
        <f>IFERROR(_xlfn.XLOOKUP($D315,'Modelling New'!$D:$D,'Modelling New'!W:W),"")</f>
        <v>0.21866912185763154</v>
      </c>
      <c r="AG315" s="222">
        <f>IFERROR(_xlfn.XLOOKUP($D315,'Modelling New'!$D:$D,'Modelling New'!AE:AE),"")</f>
        <v>0.995</v>
      </c>
      <c r="AH315" s="222">
        <f>IFERROR(_xlfn.XLOOKUP($D315,'Modelling New'!$D:$D,'Modelling New'!AF:AF),"")</f>
        <v>0.995</v>
      </c>
      <c r="AI315" s="9"/>
      <c r="AJ315" s="9"/>
      <c r="AK315" s="245"/>
      <c r="AL315" s="245"/>
      <c r="AM315" s="245"/>
      <c r="AN315" s="219"/>
      <c r="AO315" s="222"/>
      <c r="AP315" s="222"/>
      <c r="AQ315" s="222"/>
      <c r="AR315" s="223">
        <f>_xlfn.XLOOKUP(D315,'Modelling New'!$D:$D,'Modelling New'!$N:$N)</f>
        <v>130</v>
      </c>
      <c r="AS315" s="223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18">
        <f>Table13[[#This Row],[Date]]-DAY(Table13[[#This Row],[Date]])+1</f>
        <v>46054</v>
      </c>
      <c r="E316" s="9">
        <f t="shared" si="25"/>
        <v>28</v>
      </c>
      <c r="F316" s="188" t="str">
        <f>IFERROR(_xlfn.XLOOKUP($A316,Input_Raw!$A:$A,Input_Raw!$FC:$FC),"")</f>
        <v/>
      </c>
      <c r="G316" s="189" t="str">
        <f>IFERROR(_xlfn.XLOOKUP($A316,Input_Raw!$A:$A,Input_Raw!$CY:$CY),"")</f>
        <v/>
      </c>
      <c r="H316" s="189" t="str">
        <f>IFERROR(_xlfn.XLOOKUP($A316,Input_Raw!$A:$A,Input_Raw!$DA:$DA),"")</f>
        <v/>
      </c>
      <c r="I316" s="189" t="str">
        <f>IFERROR(_xlfn.XLOOKUP($A316,Input_Raw!$A:$A,Input_Raw!$CX:$CX),"")</f>
        <v/>
      </c>
      <c r="J316" s="189" t="str">
        <f>IFERROR(_xlfn.XLOOKUP($A316,Input_Raw!$A:$A,Input_Raw!$CZ:$CZ),"")</f>
        <v/>
      </c>
      <c r="K316" s="190" t="str">
        <f>IFERROR(_xlfn.XLOOKUP($A316,Input_Raw!$A:$A,Input_Raw!$DB:$DB),"")</f>
        <v/>
      </c>
      <c r="L316" s="190" t="str">
        <f>IFERROR(_xlfn.XLOOKUP($A316,Input_Raw!$A:$A,Input_Raw!$DC:$DC),"")</f>
        <v/>
      </c>
      <c r="M316" s="189" t="str">
        <f>IFERROR(_xlfn.XLOOKUP($A316,Input_Raw!$A:$A,Input_Raw!$DF:$DF),"")</f>
        <v/>
      </c>
      <c r="N316" s="189" t="str">
        <f>IFERROR(_xlfn.XLOOKUP($A316,Input_Raw!$A:$A,Input_Raw!$DG:$DG),"")</f>
        <v/>
      </c>
      <c r="O316" s="219" t="str">
        <f>IFERROR(1-(SUMIF(Plant_BD!$B:$B,$A316,Plant_BD!$AL:$AL)/($AA316+SUMIF(Plant_BD!$B:$B,$A316,Plant_BD!$AL:$AL))),"")</f>
        <v/>
      </c>
      <c r="P316" s="219"/>
      <c r="Q316" s="220" t="str">
        <f>IFERROR(1-(SUMIF(Grid_BD!$B:$B,$A316,Grid_BD!$V:$V)/($AA316+SUMIF(Grid_BD!$B:$B,$A316,Grid_BD!$V:$V))),"")</f>
        <v/>
      </c>
      <c r="R316" s="219" t="str">
        <f>IFERROR(1-(SUMIF(Grid_BD!$B:$B,$A316,Grid_BD!$V:$V)/($AA316+SUMIF(Grid_BD!$B:$B,$A316,Grid_BD!$V:$V))),"")</f>
        <v/>
      </c>
      <c r="S316" s="9"/>
      <c r="T316" s="220"/>
      <c r="U316" s="221" t="str">
        <f t="shared" si="26"/>
        <v/>
      </c>
      <c r="V316" s="221" t="str">
        <f>IFERROR(_xlfn.XLOOKUP($A316,Input_Raw!$A:$A,Input_Raw!$FG:$FG),"")</f>
        <v/>
      </c>
      <c r="W316" s="222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78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22">
        <f>IFERROR(_xlfn.XLOOKUP($D316,'Modelling New'!$D:$D,'Modelling New'!O:O),"")</f>
        <v>0.8316109218354748</v>
      </c>
      <c r="AF316" s="222">
        <f>IFERROR(_xlfn.XLOOKUP($D316,'Modelling New'!$D:$D,'Modelling New'!W:W),"")</f>
        <v>0.21866912185763154</v>
      </c>
      <c r="AG316" s="222">
        <f>IFERROR(_xlfn.XLOOKUP($D316,'Modelling New'!$D:$D,'Modelling New'!AE:AE),"")</f>
        <v>0.995</v>
      </c>
      <c r="AH316" s="222">
        <f>IFERROR(_xlfn.XLOOKUP($D316,'Modelling New'!$D:$D,'Modelling New'!AF:AF),"")</f>
        <v>0.995</v>
      </c>
      <c r="AI316" s="9"/>
      <c r="AJ316" s="9"/>
      <c r="AK316" s="245"/>
      <c r="AL316" s="245"/>
      <c r="AM316" s="245"/>
      <c r="AN316" s="219"/>
      <c r="AO316" s="222"/>
      <c r="AP316" s="222"/>
      <c r="AQ316" s="222"/>
      <c r="AR316" s="223">
        <f>_xlfn.XLOOKUP(D316,'Modelling New'!$D:$D,'Modelling New'!$N:$N)</f>
        <v>130</v>
      </c>
      <c r="AS316" s="223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18">
        <f>Table13[[#This Row],[Date]]-DAY(Table13[[#This Row],[Date]])+1</f>
        <v>46054</v>
      </c>
      <c r="E317" s="9">
        <f t="shared" si="25"/>
        <v>28</v>
      </c>
      <c r="F317" s="188" t="str">
        <f>IFERROR(_xlfn.XLOOKUP($A317,Input_Raw!$A:$A,Input_Raw!$FC:$FC),"")</f>
        <v/>
      </c>
      <c r="G317" s="178" t="str">
        <f>IFERROR(_xlfn.XLOOKUP($A317,Input_Raw!$A:$A,Input_Raw!$CY:$CY),"")</f>
        <v/>
      </c>
      <c r="H317" s="178" t="str">
        <f>IFERROR(_xlfn.XLOOKUP($A317,Input_Raw!$A:$A,Input_Raw!$DA:$DA),"")</f>
        <v/>
      </c>
      <c r="I317" s="178" t="str">
        <f>IFERROR(_xlfn.XLOOKUP($A317,Input_Raw!$A:$A,Input_Raw!$CX:$CX),"")</f>
        <v/>
      </c>
      <c r="J317" s="178" t="str">
        <f>IFERROR(_xlfn.XLOOKUP($A317,Input_Raw!$A:$A,Input_Raw!$CZ:$CZ),"")</f>
        <v/>
      </c>
      <c r="K317" s="190" t="str">
        <f>IFERROR(_xlfn.XLOOKUP($A317,Input_Raw!$A:$A,Input_Raw!$DB:$DB),"")</f>
        <v/>
      </c>
      <c r="L317" s="190" t="str">
        <f>IFERROR(_xlfn.XLOOKUP($A317,Input_Raw!$A:$A,Input_Raw!$DC:$DC),"")</f>
        <v/>
      </c>
      <c r="M317" s="189" t="str">
        <f>IFERROR(_xlfn.XLOOKUP($A317,Input_Raw!$A:$A,Input_Raw!$DF:$DF),"")</f>
        <v/>
      </c>
      <c r="N317" s="189" t="str">
        <f>IFERROR(_xlfn.XLOOKUP($A317,Input_Raw!$A:$A,Input_Raw!$DG:$DG),"")</f>
        <v/>
      </c>
      <c r="O317" s="219" t="str">
        <f>IFERROR(1-(SUMIF(Plant_BD!$B:$B,$A317,Plant_BD!$AL:$AL)/($AA317+SUMIF(Plant_BD!$B:$B,$A317,Plant_BD!$AL:$AL))),"")</f>
        <v/>
      </c>
      <c r="P317" s="219"/>
      <c r="Q317" s="220" t="str">
        <f>IFERROR(1-(SUMIF(Grid_BD!$B:$B,$A317,Grid_BD!$V:$V)/($AA317+SUMIF(Grid_BD!$B:$B,$A317,Grid_BD!$V:$V))),"")</f>
        <v/>
      </c>
      <c r="R317" s="219" t="str">
        <f>IFERROR(1-(SUMIF(Grid_BD!$B:$B,$A317,Grid_BD!$V:$V)/($AA317+SUMIF(Grid_BD!$B:$B,$A317,Grid_BD!$V:$V))),"")</f>
        <v/>
      </c>
      <c r="S317" s="9"/>
      <c r="T317" s="220"/>
      <c r="U317" s="221" t="str">
        <f t="shared" si="26"/>
        <v/>
      </c>
      <c r="V317" s="221" t="str">
        <f>IFERROR(_xlfn.XLOOKUP($A317,Input_Raw!$A:$A,Input_Raw!$FG:$FG),"")</f>
        <v/>
      </c>
      <c r="W317" s="222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78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22">
        <f>IFERROR(_xlfn.XLOOKUP($D317,'Modelling New'!$D:$D,'Modelling New'!O:O),"")</f>
        <v>0.8316109218354748</v>
      </c>
      <c r="AF317" s="222">
        <f>IFERROR(_xlfn.XLOOKUP($D317,'Modelling New'!$D:$D,'Modelling New'!W:W),"")</f>
        <v>0.21866912185763154</v>
      </c>
      <c r="AG317" s="222">
        <f>IFERROR(_xlfn.XLOOKUP($D317,'Modelling New'!$D:$D,'Modelling New'!AE:AE),"")</f>
        <v>0.995</v>
      </c>
      <c r="AH317" s="222">
        <f>IFERROR(_xlfn.XLOOKUP($D317,'Modelling New'!$D:$D,'Modelling New'!AF:AF),"")</f>
        <v>0.995</v>
      </c>
      <c r="AI317" s="9"/>
      <c r="AJ317" s="9"/>
      <c r="AK317" s="245"/>
      <c r="AL317" s="245"/>
      <c r="AM317" s="245"/>
      <c r="AN317" s="219"/>
      <c r="AO317" s="222"/>
      <c r="AP317" s="222"/>
      <c r="AQ317" s="222"/>
      <c r="AR317" s="223">
        <f>_xlfn.XLOOKUP(D317,'Modelling New'!$D:$D,'Modelling New'!$N:$N)</f>
        <v>130</v>
      </c>
      <c r="AS317" s="223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18">
        <f>Table13[[#This Row],[Date]]-DAY(Table13[[#This Row],[Date]])+1</f>
        <v>46054</v>
      </c>
      <c r="E318" s="9">
        <f t="shared" si="25"/>
        <v>28</v>
      </c>
      <c r="F318" s="188" t="str">
        <f>IFERROR(_xlfn.XLOOKUP($A318,Input_Raw!$A:$A,Input_Raw!$FC:$FC),"")</f>
        <v/>
      </c>
      <c r="G318" s="189" t="str">
        <f>IFERROR(_xlfn.XLOOKUP($A318,Input_Raw!$A:$A,Input_Raw!$CY:$CY),"")</f>
        <v/>
      </c>
      <c r="H318" s="189" t="str">
        <f>IFERROR(_xlfn.XLOOKUP($A318,Input_Raw!$A:$A,Input_Raw!$DA:$DA),"")</f>
        <v/>
      </c>
      <c r="I318" s="189" t="str">
        <f>IFERROR(_xlfn.XLOOKUP($A318,Input_Raw!$A:$A,Input_Raw!$CX:$CX),"")</f>
        <v/>
      </c>
      <c r="J318" s="189" t="str">
        <f>IFERROR(_xlfn.XLOOKUP($A318,Input_Raw!$A:$A,Input_Raw!$CZ:$CZ),"")</f>
        <v/>
      </c>
      <c r="K318" s="190" t="str">
        <f>IFERROR(_xlfn.XLOOKUP($A318,Input_Raw!$A:$A,Input_Raw!$DB:$DB),"")</f>
        <v/>
      </c>
      <c r="L318" s="190" t="str">
        <f>IFERROR(_xlfn.XLOOKUP($A318,Input_Raw!$A:$A,Input_Raw!$DC:$DC),"")</f>
        <v/>
      </c>
      <c r="M318" s="189" t="str">
        <f>IFERROR(_xlfn.XLOOKUP($A318,Input_Raw!$A:$A,Input_Raw!$DF:$DF),"")</f>
        <v/>
      </c>
      <c r="N318" s="189" t="str">
        <f>IFERROR(_xlfn.XLOOKUP($A318,Input_Raw!$A:$A,Input_Raw!$DG:$DG),"")</f>
        <v/>
      </c>
      <c r="O318" s="219" t="str">
        <f>IFERROR(1-(SUMIF(Plant_BD!$B:$B,$A318,Plant_BD!$AL:$AL)/($AA318+SUMIF(Plant_BD!$B:$B,$A318,Plant_BD!$AL:$AL))),"")</f>
        <v/>
      </c>
      <c r="P318" s="219"/>
      <c r="Q318" s="220" t="str">
        <f>IFERROR(1-(SUMIF(Grid_BD!$B:$B,$A318,Grid_BD!$V:$V)/($AA318+SUMIF(Grid_BD!$B:$B,$A318,Grid_BD!$V:$V))),"")</f>
        <v/>
      </c>
      <c r="R318" s="219" t="str">
        <f>IFERROR(1-(SUMIF(Grid_BD!$B:$B,$A318,Grid_BD!$V:$V)/($AA318+SUMIF(Grid_BD!$B:$B,$A318,Grid_BD!$V:$V))),"")</f>
        <v/>
      </c>
      <c r="S318" s="9"/>
      <c r="T318" s="220"/>
      <c r="U318" s="221" t="str">
        <f t="shared" si="26"/>
        <v/>
      </c>
      <c r="V318" s="221" t="str">
        <f>IFERROR(_xlfn.XLOOKUP($A318,Input_Raw!$A:$A,Input_Raw!$FG:$FG),"")</f>
        <v/>
      </c>
      <c r="W318" s="222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78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22">
        <f>IFERROR(_xlfn.XLOOKUP($D318,'Modelling New'!$D:$D,'Modelling New'!O:O),"")</f>
        <v>0.8316109218354748</v>
      </c>
      <c r="AF318" s="222">
        <f>IFERROR(_xlfn.XLOOKUP($D318,'Modelling New'!$D:$D,'Modelling New'!W:W),"")</f>
        <v>0.21866912185763154</v>
      </c>
      <c r="AG318" s="222">
        <f>IFERROR(_xlfn.XLOOKUP($D318,'Modelling New'!$D:$D,'Modelling New'!AE:AE),"")</f>
        <v>0.995</v>
      </c>
      <c r="AH318" s="222">
        <f>IFERROR(_xlfn.XLOOKUP($D318,'Modelling New'!$D:$D,'Modelling New'!AF:AF),"")</f>
        <v>0.995</v>
      </c>
      <c r="AI318" s="9"/>
      <c r="AJ318" s="9"/>
      <c r="AK318" s="245"/>
      <c r="AL318" s="245"/>
      <c r="AM318" s="245"/>
      <c r="AN318" s="219"/>
      <c r="AO318" s="222"/>
      <c r="AP318" s="222"/>
      <c r="AQ318" s="222"/>
      <c r="AR318" s="223">
        <f>_xlfn.XLOOKUP(D318,'Modelling New'!$D:$D,'Modelling New'!$N:$N)</f>
        <v>130</v>
      </c>
      <c r="AS318" s="223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18">
        <f>Table13[[#This Row],[Date]]-DAY(Table13[[#This Row],[Date]])+1</f>
        <v>46054</v>
      </c>
      <c r="E319" s="9">
        <f t="shared" si="25"/>
        <v>28</v>
      </c>
      <c r="F319" s="188" t="str">
        <f>IFERROR(_xlfn.XLOOKUP($A319,Input_Raw!$A:$A,Input_Raw!$FC:$FC),"")</f>
        <v/>
      </c>
      <c r="G319" s="178" t="str">
        <f>IFERROR(_xlfn.XLOOKUP($A319,Input_Raw!$A:$A,Input_Raw!$CY:$CY),"")</f>
        <v/>
      </c>
      <c r="H319" s="178" t="str">
        <f>IFERROR(_xlfn.XLOOKUP($A319,Input_Raw!$A:$A,Input_Raw!$DA:$DA),"")</f>
        <v/>
      </c>
      <c r="I319" s="178" t="str">
        <f>IFERROR(_xlfn.XLOOKUP($A319,Input_Raw!$A:$A,Input_Raw!$CX:$CX),"")</f>
        <v/>
      </c>
      <c r="J319" s="178" t="str">
        <f>IFERROR(_xlfn.XLOOKUP($A319,Input_Raw!$A:$A,Input_Raw!$CZ:$CZ),"")</f>
        <v/>
      </c>
      <c r="K319" s="190" t="str">
        <f>IFERROR(_xlfn.XLOOKUP($A319,Input_Raw!$A:$A,Input_Raw!$DB:$DB),"")</f>
        <v/>
      </c>
      <c r="L319" s="190" t="str">
        <f>IFERROR(_xlfn.XLOOKUP($A319,Input_Raw!$A:$A,Input_Raw!$DC:$DC),"")</f>
        <v/>
      </c>
      <c r="M319" s="189" t="str">
        <f>IFERROR(_xlfn.XLOOKUP($A319,Input_Raw!$A:$A,Input_Raw!$DF:$DF),"")</f>
        <v/>
      </c>
      <c r="N319" s="189" t="str">
        <f>IFERROR(_xlfn.XLOOKUP($A319,Input_Raw!$A:$A,Input_Raw!$DG:$DG),"")</f>
        <v/>
      </c>
      <c r="O319" s="219" t="str">
        <f>IFERROR(1-(SUMIF(Plant_BD!$B:$B,$A319,Plant_BD!$AL:$AL)/($AA319+SUMIF(Plant_BD!$B:$B,$A319,Plant_BD!$AL:$AL))),"")</f>
        <v/>
      </c>
      <c r="P319" s="219"/>
      <c r="Q319" s="220" t="str">
        <f>IFERROR(1-(SUMIF(Grid_BD!$B:$B,$A319,Grid_BD!$V:$V)/($AA319+SUMIF(Grid_BD!$B:$B,$A319,Grid_BD!$V:$V))),"")</f>
        <v/>
      </c>
      <c r="R319" s="219" t="str">
        <f>IFERROR(1-(SUMIF(Grid_BD!$B:$B,$A319,Grid_BD!$V:$V)/($AA319+SUMIF(Grid_BD!$B:$B,$A319,Grid_BD!$V:$V))),"")</f>
        <v/>
      </c>
      <c r="S319" s="9"/>
      <c r="T319" s="220"/>
      <c r="U319" s="221" t="str">
        <f t="shared" si="26"/>
        <v/>
      </c>
      <c r="V319" s="221" t="str">
        <f>IFERROR(_xlfn.XLOOKUP($A319,Input_Raw!$A:$A,Input_Raw!$FG:$FG),"")</f>
        <v/>
      </c>
      <c r="W319" s="222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78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22">
        <f>IFERROR(_xlfn.XLOOKUP($D319,'Modelling New'!$D:$D,'Modelling New'!O:O),"")</f>
        <v>0.8316109218354748</v>
      </c>
      <c r="AF319" s="222">
        <f>IFERROR(_xlfn.XLOOKUP($D319,'Modelling New'!$D:$D,'Modelling New'!W:W),"")</f>
        <v>0.21866912185763154</v>
      </c>
      <c r="AG319" s="222">
        <f>IFERROR(_xlfn.XLOOKUP($D319,'Modelling New'!$D:$D,'Modelling New'!AE:AE),"")</f>
        <v>0.995</v>
      </c>
      <c r="AH319" s="222">
        <f>IFERROR(_xlfn.XLOOKUP($D319,'Modelling New'!$D:$D,'Modelling New'!AF:AF),"")</f>
        <v>0.995</v>
      </c>
      <c r="AI319" s="9"/>
      <c r="AJ319" s="9"/>
      <c r="AK319" s="245"/>
      <c r="AL319" s="245"/>
      <c r="AM319" s="245"/>
      <c r="AN319" s="219"/>
      <c r="AO319" s="222"/>
      <c r="AP319" s="222"/>
      <c r="AQ319" s="222"/>
      <c r="AR319" s="223">
        <f>_xlfn.XLOOKUP(D319,'Modelling New'!$D:$D,'Modelling New'!$N:$N)</f>
        <v>130</v>
      </c>
      <c r="AS319" s="223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18">
        <f>Table13[[#This Row],[Date]]-DAY(Table13[[#This Row],[Date]])+1</f>
        <v>46054</v>
      </c>
      <c r="E320" s="9">
        <f t="shared" si="25"/>
        <v>28</v>
      </c>
      <c r="F320" s="188" t="str">
        <f>IFERROR(_xlfn.XLOOKUP($A320,Input_Raw!$A:$A,Input_Raw!$FC:$FC),"")</f>
        <v/>
      </c>
      <c r="G320" s="189" t="str">
        <f>IFERROR(_xlfn.XLOOKUP($A320,Input_Raw!$A:$A,Input_Raw!$CY:$CY),"")</f>
        <v/>
      </c>
      <c r="H320" s="189" t="str">
        <f>IFERROR(_xlfn.XLOOKUP($A320,Input_Raw!$A:$A,Input_Raw!$DA:$DA),"")</f>
        <v/>
      </c>
      <c r="I320" s="189" t="str">
        <f>IFERROR(_xlfn.XLOOKUP($A320,Input_Raw!$A:$A,Input_Raw!$CX:$CX),"")</f>
        <v/>
      </c>
      <c r="J320" s="189" t="str">
        <f>IFERROR(_xlfn.XLOOKUP($A320,Input_Raw!$A:$A,Input_Raw!$CZ:$CZ),"")</f>
        <v/>
      </c>
      <c r="K320" s="190" t="str">
        <f>IFERROR(_xlfn.XLOOKUP($A320,Input_Raw!$A:$A,Input_Raw!$DB:$DB),"")</f>
        <v/>
      </c>
      <c r="L320" s="190" t="str">
        <f>IFERROR(_xlfn.XLOOKUP($A320,Input_Raw!$A:$A,Input_Raw!$DC:$DC),"")</f>
        <v/>
      </c>
      <c r="M320" s="189" t="str">
        <f>IFERROR(_xlfn.XLOOKUP($A320,Input_Raw!$A:$A,Input_Raw!$DF:$DF),"")</f>
        <v/>
      </c>
      <c r="N320" s="189" t="str">
        <f>IFERROR(_xlfn.XLOOKUP($A320,Input_Raw!$A:$A,Input_Raw!$DG:$DG),"")</f>
        <v/>
      </c>
      <c r="O320" s="219" t="str">
        <f>IFERROR(1-(SUMIF(Plant_BD!$B:$B,$A320,Plant_BD!$AL:$AL)/($AA320+SUMIF(Plant_BD!$B:$B,$A320,Plant_BD!$AL:$AL))),"")</f>
        <v/>
      </c>
      <c r="P320" s="219"/>
      <c r="Q320" s="220" t="str">
        <f>IFERROR(1-(SUMIF(Grid_BD!$B:$B,$A320,Grid_BD!$V:$V)/($AA320+SUMIF(Grid_BD!$B:$B,$A320,Grid_BD!$V:$V))),"")</f>
        <v/>
      </c>
      <c r="R320" s="219" t="str">
        <f>IFERROR(1-(SUMIF(Grid_BD!$B:$B,$A320,Grid_BD!$V:$V)/($AA320+SUMIF(Grid_BD!$B:$B,$A320,Grid_BD!$V:$V))),"")</f>
        <v/>
      </c>
      <c r="S320" s="9"/>
      <c r="T320" s="220"/>
      <c r="U320" s="221" t="str">
        <f t="shared" si="26"/>
        <v/>
      </c>
      <c r="V320" s="221" t="str">
        <f>IFERROR(_xlfn.XLOOKUP($A320,Input_Raw!$A:$A,Input_Raw!$FG:$FG),"")</f>
        <v/>
      </c>
      <c r="W320" s="222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78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22">
        <f>IFERROR(_xlfn.XLOOKUP($D320,'Modelling New'!$D:$D,'Modelling New'!O:O),"")</f>
        <v>0.8316109218354748</v>
      </c>
      <c r="AF320" s="222">
        <f>IFERROR(_xlfn.XLOOKUP($D320,'Modelling New'!$D:$D,'Modelling New'!W:W),"")</f>
        <v>0.21866912185763154</v>
      </c>
      <c r="AG320" s="222">
        <f>IFERROR(_xlfn.XLOOKUP($D320,'Modelling New'!$D:$D,'Modelling New'!AE:AE),"")</f>
        <v>0.995</v>
      </c>
      <c r="AH320" s="222">
        <f>IFERROR(_xlfn.XLOOKUP($D320,'Modelling New'!$D:$D,'Modelling New'!AF:AF),"")</f>
        <v>0.995</v>
      </c>
      <c r="AI320" s="9"/>
      <c r="AJ320" s="9"/>
      <c r="AK320" s="245"/>
      <c r="AL320" s="245"/>
      <c r="AM320" s="245"/>
      <c r="AN320" s="219"/>
      <c r="AO320" s="222"/>
      <c r="AP320" s="222"/>
      <c r="AQ320" s="222"/>
      <c r="AR320" s="223">
        <f>_xlfn.XLOOKUP(D320,'Modelling New'!$D:$D,'Modelling New'!$N:$N)</f>
        <v>130</v>
      </c>
      <c r="AS320" s="223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18">
        <f>Table13[[#This Row],[Date]]-DAY(Table13[[#This Row],[Date]])+1</f>
        <v>46054</v>
      </c>
      <c r="E321" s="9">
        <f t="shared" si="25"/>
        <v>28</v>
      </c>
      <c r="F321" s="188" t="str">
        <f>IFERROR(_xlfn.XLOOKUP($A321,Input_Raw!$A:$A,Input_Raw!$FC:$FC),"")</f>
        <v/>
      </c>
      <c r="G321" s="178" t="str">
        <f>IFERROR(_xlfn.XLOOKUP($A321,Input_Raw!$A:$A,Input_Raw!$CY:$CY),"")</f>
        <v/>
      </c>
      <c r="H321" s="178" t="str">
        <f>IFERROR(_xlfn.XLOOKUP($A321,Input_Raw!$A:$A,Input_Raw!$DA:$DA),"")</f>
        <v/>
      </c>
      <c r="I321" s="178" t="str">
        <f>IFERROR(_xlfn.XLOOKUP($A321,Input_Raw!$A:$A,Input_Raw!$CX:$CX),"")</f>
        <v/>
      </c>
      <c r="J321" s="178" t="str">
        <f>IFERROR(_xlfn.XLOOKUP($A321,Input_Raw!$A:$A,Input_Raw!$CZ:$CZ),"")</f>
        <v/>
      </c>
      <c r="K321" s="190" t="str">
        <f>IFERROR(_xlfn.XLOOKUP($A321,Input_Raw!$A:$A,Input_Raw!$DB:$DB),"")</f>
        <v/>
      </c>
      <c r="L321" s="190" t="str">
        <f>IFERROR(_xlfn.XLOOKUP($A321,Input_Raw!$A:$A,Input_Raw!$DC:$DC),"")</f>
        <v/>
      </c>
      <c r="M321" s="189" t="str">
        <f>IFERROR(_xlfn.XLOOKUP($A321,Input_Raw!$A:$A,Input_Raw!$DF:$DF),"")</f>
        <v/>
      </c>
      <c r="N321" s="189" t="str">
        <f>IFERROR(_xlfn.XLOOKUP($A321,Input_Raw!$A:$A,Input_Raw!$DG:$DG),"")</f>
        <v/>
      </c>
      <c r="O321" s="219" t="str">
        <f>IFERROR(1-(SUMIF(Plant_BD!$B:$B,$A321,Plant_BD!$AL:$AL)/($AA321+SUMIF(Plant_BD!$B:$B,$A321,Plant_BD!$AL:$AL))),"")</f>
        <v/>
      </c>
      <c r="P321" s="219"/>
      <c r="Q321" s="220" t="str">
        <f>IFERROR(1-(SUMIF(Grid_BD!$B:$B,$A321,Grid_BD!$V:$V)/($AA321+SUMIF(Grid_BD!$B:$B,$A321,Grid_BD!$V:$V))),"")</f>
        <v/>
      </c>
      <c r="R321" s="219" t="str">
        <f>IFERROR(1-(SUMIF(Grid_BD!$B:$B,$A321,Grid_BD!$V:$V)/($AA321+SUMIF(Grid_BD!$B:$B,$A321,Grid_BD!$V:$V))),"")</f>
        <v/>
      </c>
      <c r="S321" s="9"/>
      <c r="T321" s="220"/>
      <c r="U321" s="221" t="str">
        <f t="shared" si="26"/>
        <v/>
      </c>
      <c r="V321" s="221" t="str">
        <f>IFERROR(_xlfn.XLOOKUP($A321,Input_Raw!$A:$A,Input_Raw!$FG:$FG),"")</f>
        <v/>
      </c>
      <c r="W321" s="222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78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22">
        <f>IFERROR(_xlfn.XLOOKUP($D321,'Modelling New'!$D:$D,'Modelling New'!O:O),"")</f>
        <v>0.8316109218354748</v>
      </c>
      <c r="AF321" s="222">
        <f>IFERROR(_xlfn.XLOOKUP($D321,'Modelling New'!$D:$D,'Modelling New'!W:W),"")</f>
        <v>0.21866912185763154</v>
      </c>
      <c r="AG321" s="222">
        <f>IFERROR(_xlfn.XLOOKUP($D321,'Modelling New'!$D:$D,'Modelling New'!AE:AE),"")</f>
        <v>0.995</v>
      </c>
      <c r="AH321" s="222">
        <f>IFERROR(_xlfn.XLOOKUP($D321,'Modelling New'!$D:$D,'Modelling New'!AF:AF),"")</f>
        <v>0.995</v>
      </c>
      <c r="AI321" s="9"/>
      <c r="AJ321" s="9"/>
      <c r="AK321" s="245"/>
      <c r="AL321" s="245"/>
      <c r="AM321" s="245"/>
      <c r="AN321" s="219"/>
      <c r="AO321" s="222"/>
      <c r="AP321" s="222"/>
      <c r="AQ321" s="222"/>
      <c r="AR321" s="223">
        <f>_xlfn.XLOOKUP(D321,'Modelling New'!$D:$D,'Modelling New'!$N:$N)</f>
        <v>130</v>
      </c>
      <c r="AS321" s="223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18">
        <f>Table13[[#This Row],[Date]]-DAY(Table13[[#This Row],[Date]])+1</f>
        <v>46054</v>
      </c>
      <c r="E322" s="9">
        <f t="shared" si="25"/>
        <v>28</v>
      </c>
      <c r="F322" s="188" t="str">
        <f>IFERROR(_xlfn.XLOOKUP($A322,Input_Raw!$A:$A,Input_Raw!$FC:$FC),"")</f>
        <v/>
      </c>
      <c r="G322" s="189" t="str">
        <f>IFERROR(_xlfn.XLOOKUP($A322,Input_Raw!$A:$A,Input_Raw!$CY:$CY),"")</f>
        <v/>
      </c>
      <c r="H322" s="189" t="str">
        <f>IFERROR(_xlfn.XLOOKUP($A322,Input_Raw!$A:$A,Input_Raw!$DA:$DA),"")</f>
        <v/>
      </c>
      <c r="I322" s="189" t="str">
        <f>IFERROR(_xlfn.XLOOKUP($A322,Input_Raw!$A:$A,Input_Raw!$CX:$CX),"")</f>
        <v/>
      </c>
      <c r="J322" s="189" t="str">
        <f>IFERROR(_xlfn.XLOOKUP($A322,Input_Raw!$A:$A,Input_Raw!$CZ:$CZ),"")</f>
        <v/>
      </c>
      <c r="K322" s="190" t="str">
        <f>IFERROR(_xlfn.XLOOKUP($A322,Input_Raw!$A:$A,Input_Raw!$DB:$DB),"")</f>
        <v/>
      </c>
      <c r="L322" s="190" t="str">
        <f>IFERROR(_xlfn.XLOOKUP($A322,Input_Raw!$A:$A,Input_Raw!$DC:$DC),"")</f>
        <v/>
      </c>
      <c r="M322" s="189" t="str">
        <f>IFERROR(_xlfn.XLOOKUP($A322,Input_Raw!$A:$A,Input_Raw!$DF:$DF),"")</f>
        <v/>
      </c>
      <c r="N322" s="189" t="str">
        <f>IFERROR(_xlfn.XLOOKUP($A322,Input_Raw!$A:$A,Input_Raw!$DG:$DG),"")</f>
        <v/>
      </c>
      <c r="O322" s="219" t="str">
        <f>IFERROR(1-(SUMIF(Plant_BD!$B:$B,$A322,Plant_BD!$AL:$AL)/($AA322+SUMIF(Plant_BD!$B:$B,$A322,Plant_BD!$AL:$AL))),"")</f>
        <v/>
      </c>
      <c r="P322" s="219"/>
      <c r="Q322" s="220" t="str">
        <f>IFERROR(1-(SUMIF(Grid_BD!$B:$B,$A322,Grid_BD!$V:$V)/($AA322+SUMIF(Grid_BD!$B:$B,$A322,Grid_BD!$V:$V))),"")</f>
        <v/>
      </c>
      <c r="R322" s="219" t="str">
        <f>IFERROR(1-(SUMIF(Grid_BD!$B:$B,$A322,Grid_BD!$V:$V)/($AA322+SUMIF(Grid_BD!$B:$B,$A322,Grid_BD!$V:$V))),"")</f>
        <v/>
      </c>
      <c r="S322" s="9"/>
      <c r="T322" s="220"/>
      <c r="U322" s="221" t="str">
        <f t="shared" si="26"/>
        <v/>
      </c>
      <c r="V322" s="221" t="str">
        <f>IFERROR(_xlfn.XLOOKUP($A322,Input_Raw!$A:$A,Input_Raw!$FG:$FG),"")</f>
        <v/>
      </c>
      <c r="W322" s="222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78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22">
        <f>IFERROR(_xlfn.XLOOKUP($D322,'Modelling New'!$D:$D,'Modelling New'!O:O),"")</f>
        <v>0.8316109218354748</v>
      </c>
      <c r="AF322" s="222">
        <f>IFERROR(_xlfn.XLOOKUP($D322,'Modelling New'!$D:$D,'Modelling New'!W:W),"")</f>
        <v>0.21866912185763154</v>
      </c>
      <c r="AG322" s="222">
        <f>IFERROR(_xlfn.XLOOKUP($D322,'Modelling New'!$D:$D,'Modelling New'!AE:AE),"")</f>
        <v>0.995</v>
      </c>
      <c r="AH322" s="222">
        <f>IFERROR(_xlfn.XLOOKUP($D322,'Modelling New'!$D:$D,'Modelling New'!AF:AF),"")</f>
        <v>0.995</v>
      </c>
      <c r="AI322" s="9"/>
      <c r="AJ322" s="9"/>
      <c r="AK322" s="245"/>
      <c r="AL322" s="245"/>
      <c r="AM322" s="245"/>
      <c r="AN322" s="219"/>
      <c r="AO322" s="222"/>
      <c r="AP322" s="222"/>
      <c r="AQ322" s="222"/>
      <c r="AR322" s="223">
        <f>_xlfn.XLOOKUP(D322,'Modelling New'!$D:$D,'Modelling New'!$N:$N)</f>
        <v>130</v>
      </c>
      <c r="AS322" s="223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18">
        <f>Table13[[#This Row],[Date]]-DAY(Table13[[#This Row],[Date]])+1</f>
        <v>46054</v>
      </c>
      <c r="E323" s="9">
        <f t="shared" si="25"/>
        <v>28</v>
      </c>
      <c r="F323" s="188" t="str">
        <f>IFERROR(_xlfn.XLOOKUP($A323,Input_Raw!$A:$A,Input_Raw!$FC:$FC),"")</f>
        <v/>
      </c>
      <c r="G323" s="178" t="str">
        <f>IFERROR(_xlfn.XLOOKUP($A323,Input_Raw!$A:$A,Input_Raw!$CY:$CY),"")</f>
        <v/>
      </c>
      <c r="H323" s="178" t="str">
        <f>IFERROR(_xlfn.XLOOKUP($A323,Input_Raw!$A:$A,Input_Raw!$DA:$DA),"")</f>
        <v/>
      </c>
      <c r="I323" s="178" t="str">
        <f>IFERROR(_xlfn.XLOOKUP($A323,Input_Raw!$A:$A,Input_Raw!$CX:$CX),"")</f>
        <v/>
      </c>
      <c r="J323" s="178" t="str">
        <f>IFERROR(_xlfn.XLOOKUP($A323,Input_Raw!$A:$A,Input_Raw!$CZ:$CZ),"")</f>
        <v/>
      </c>
      <c r="K323" s="190" t="str">
        <f>IFERROR(_xlfn.XLOOKUP($A323,Input_Raw!$A:$A,Input_Raw!$DB:$DB),"")</f>
        <v/>
      </c>
      <c r="L323" s="190" t="str">
        <f>IFERROR(_xlfn.XLOOKUP($A323,Input_Raw!$A:$A,Input_Raw!$DC:$DC),"")</f>
        <v/>
      </c>
      <c r="M323" s="189" t="str">
        <f>IFERROR(_xlfn.XLOOKUP($A323,Input_Raw!$A:$A,Input_Raw!$DF:$DF),"")</f>
        <v/>
      </c>
      <c r="N323" s="189" t="str">
        <f>IFERROR(_xlfn.XLOOKUP($A323,Input_Raw!$A:$A,Input_Raw!$DG:$DG),"")</f>
        <v/>
      </c>
      <c r="O323" s="219" t="str">
        <f>IFERROR(1-(SUMIF(Plant_BD!$B:$B,$A323,Plant_BD!$AL:$AL)/($AA323+SUMIF(Plant_BD!$B:$B,$A323,Plant_BD!$AL:$AL))),"")</f>
        <v/>
      </c>
      <c r="P323" s="219"/>
      <c r="Q323" s="220" t="str">
        <f>IFERROR(1-(SUMIF(Grid_BD!$B:$B,$A323,Grid_BD!$V:$V)/($AA323+SUMIF(Grid_BD!$B:$B,$A323,Grid_BD!$V:$V))),"")</f>
        <v/>
      </c>
      <c r="R323" s="219" t="str">
        <f>IFERROR(1-(SUMIF(Grid_BD!$B:$B,$A323,Grid_BD!$V:$V)/($AA323+SUMIF(Grid_BD!$B:$B,$A323,Grid_BD!$V:$V))),"")</f>
        <v/>
      </c>
      <c r="S323" s="9"/>
      <c r="T323" s="220"/>
      <c r="U323" s="221" t="str">
        <f t="shared" si="26"/>
        <v/>
      </c>
      <c r="V323" s="221" t="str">
        <f>IFERROR(_xlfn.XLOOKUP($A323,Input_Raw!$A:$A,Input_Raw!$FG:$FG),"")</f>
        <v/>
      </c>
      <c r="W323" s="222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78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22">
        <f>IFERROR(_xlfn.XLOOKUP($D323,'Modelling New'!$D:$D,'Modelling New'!O:O),"")</f>
        <v>0.8316109218354748</v>
      </c>
      <c r="AF323" s="222">
        <f>IFERROR(_xlfn.XLOOKUP($D323,'Modelling New'!$D:$D,'Modelling New'!W:W),"")</f>
        <v>0.21866912185763154</v>
      </c>
      <c r="AG323" s="222">
        <f>IFERROR(_xlfn.XLOOKUP($D323,'Modelling New'!$D:$D,'Modelling New'!AE:AE),"")</f>
        <v>0.995</v>
      </c>
      <c r="AH323" s="222">
        <f>IFERROR(_xlfn.XLOOKUP($D323,'Modelling New'!$D:$D,'Modelling New'!AF:AF),"")</f>
        <v>0.995</v>
      </c>
      <c r="AI323" s="9"/>
      <c r="AJ323" s="9"/>
      <c r="AK323" s="245"/>
      <c r="AL323" s="245"/>
      <c r="AM323" s="245"/>
      <c r="AN323" s="219"/>
      <c r="AO323" s="222"/>
      <c r="AP323" s="222"/>
      <c r="AQ323" s="222"/>
      <c r="AR323" s="223">
        <f>_xlfn.XLOOKUP(D323,'Modelling New'!$D:$D,'Modelling New'!$N:$N)</f>
        <v>130</v>
      </c>
      <c r="AS323" s="223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18">
        <f>Table13[[#This Row],[Date]]-DAY(Table13[[#This Row],[Date]])+1</f>
        <v>46054</v>
      </c>
      <c r="E324" s="9">
        <f t="shared" si="25"/>
        <v>28</v>
      </c>
      <c r="F324" s="188" t="str">
        <f>IFERROR(_xlfn.XLOOKUP($A324,Input_Raw!$A:$A,Input_Raw!$FC:$FC),"")</f>
        <v/>
      </c>
      <c r="G324" s="189" t="str">
        <f>IFERROR(_xlfn.XLOOKUP($A324,Input_Raw!$A:$A,Input_Raw!$CY:$CY),"")</f>
        <v/>
      </c>
      <c r="H324" s="189" t="str">
        <f>IFERROR(_xlfn.XLOOKUP($A324,Input_Raw!$A:$A,Input_Raw!$DA:$DA),"")</f>
        <v/>
      </c>
      <c r="I324" s="189" t="str">
        <f>IFERROR(_xlfn.XLOOKUP($A324,Input_Raw!$A:$A,Input_Raw!$CX:$CX),"")</f>
        <v/>
      </c>
      <c r="J324" s="189" t="str">
        <f>IFERROR(_xlfn.XLOOKUP($A324,Input_Raw!$A:$A,Input_Raw!$CZ:$CZ),"")</f>
        <v/>
      </c>
      <c r="K324" s="190" t="str">
        <f>IFERROR(_xlfn.XLOOKUP($A324,Input_Raw!$A:$A,Input_Raw!$DB:$DB),"")</f>
        <v/>
      </c>
      <c r="L324" s="190" t="str">
        <f>IFERROR(_xlfn.XLOOKUP($A324,Input_Raw!$A:$A,Input_Raw!$DC:$DC),"")</f>
        <v/>
      </c>
      <c r="M324" s="189" t="str">
        <f>IFERROR(_xlfn.XLOOKUP($A324,Input_Raw!$A:$A,Input_Raw!$DF:$DF),"")</f>
        <v/>
      </c>
      <c r="N324" s="189" t="str">
        <f>IFERROR(_xlfn.XLOOKUP($A324,Input_Raw!$A:$A,Input_Raw!$DG:$DG),"")</f>
        <v/>
      </c>
      <c r="O324" s="219" t="str">
        <f>IFERROR(1-(SUMIF(Plant_BD!$B:$B,$A324,Plant_BD!$AL:$AL)/($AA324+SUMIF(Plant_BD!$B:$B,$A324,Plant_BD!$AL:$AL))),"")</f>
        <v/>
      </c>
      <c r="P324" s="219"/>
      <c r="Q324" s="220" t="str">
        <f>IFERROR(1-(SUMIF(Grid_BD!$B:$B,$A324,Grid_BD!$V:$V)/($AA324+SUMIF(Grid_BD!$B:$B,$A324,Grid_BD!$V:$V))),"")</f>
        <v/>
      </c>
      <c r="R324" s="219" t="str">
        <f>IFERROR(1-(SUMIF(Grid_BD!$B:$B,$A324,Grid_BD!$V:$V)/($AA324+SUMIF(Grid_BD!$B:$B,$A324,Grid_BD!$V:$V))),"")</f>
        <v/>
      </c>
      <c r="S324" s="9"/>
      <c r="T324" s="220"/>
      <c r="U324" s="221" t="str">
        <f t="shared" si="26"/>
        <v/>
      </c>
      <c r="V324" s="221" t="str">
        <f>IFERROR(_xlfn.XLOOKUP($A324,Input_Raw!$A:$A,Input_Raw!$FG:$FG),"")</f>
        <v/>
      </c>
      <c r="W324" s="222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78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22">
        <f>IFERROR(_xlfn.XLOOKUP($D324,'Modelling New'!$D:$D,'Modelling New'!O:O),"")</f>
        <v>0.8316109218354748</v>
      </c>
      <c r="AF324" s="222">
        <f>IFERROR(_xlfn.XLOOKUP($D324,'Modelling New'!$D:$D,'Modelling New'!W:W),"")</f>
        <v>0.21866912185763154</v>
      </c>
      <c r="AG324" s="222">
        <f>IFERROR(_xlfn.XLOOKUP($D324,'Modelling New'!$D:$D,'Modelling New'!AE:AE),"")</f>
        <v>0.995</v>
      </c>
      <c r="AH324" s="222">
        <f>IFERROR(_xlfn.XLOOKUP($D324,'Modelling New'!$D:$D,'Modelling New'!AF:AF),"")</f>
        <v>0.995</v>
      </c>
      <c r="AI324" s="9"/>
      <c r="AJ324" s="9"/>
      <c r="AK324" s="245"/>
      <c r="AL324" s="245"/>
      <c r="AM324" s="245"/>
      <c r="AN324" s="219"/>
      <c r="AO324" s="222"/>
      <c r="AP324" s="222"/>
      <c r="AQ324" s="222"/>
      <c r="AR324" s="223">
        <f>_xlfn.XLOOKUP(D324,'Modelling New'!$D:$D,'Modelling New'!$N:$N)</f>
        <v>130</v>
      </c>
      <c r="AS324" s="223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18">
        <f>Table13[[#This Row],[Date]]-DAY(Table13[[#This Row],[Date]])+1</f>
        <v>46054</v>
      </c>
      <c r="E325" s="9">
        <f t="shared" si="25"/>
        <v>28</v>
      </c>
      <c r="F325" s="188" t="str">
        <f>IFERROR(_xlfn.XLOOKUP($A325,Input_Raw!$A:$A,Input_Raw!$FC:$FC),"")</f>
        <v/>
      </c>
      <c r="G325" s="178" t="str">
        <f>IFERROR(_xlfn.XLOOKUP($A325,Input_Raw!$A:$A,Input_Raw!$CY:$CY),"")</f>
        <v/>
      </c>
      <c r="H325" s="178" t="str">
        <f>IFERROR(_xlfn.XLOOKUP($A325,Input_Raw!$A:$A,Input_Raw!$DA:$DA),"")</f>
        <v/>
      </c>
      <c r="I325" s="178" t="str">
        <f>IFERROR(_xlfn.XLOOKUP($A325,Input_Raw!$A:$A,Input_Raw!$CX:$CX),"")</f>
        <v/>
      </c>
      <c r="J325" s="178" t="str">
        <f>IFERROR(_xlfn.XLOOKUP($A325,Input_Raw!$A:$A,Input_Raw!$CZ:$CZ),"")</f>
        <v/>
      </c>
      <c r="K325" s="190" t="str">
        <f>IFERROR(_xlfn.XLOOKUP($A325,Input_Raw!$A:$A,Input_Raw!$DB:$DB),"")</f>
        <v/>
      </c>
      <c r="L325" s="190" t="str">
        <f>IFERROR(_xlfn.XLOOKUP($A325,Input_Raw!$A:$A,Input_Raw!$DC:$DC),"")</f>
        <v/>
      </c>
      <c r="M325" s="189" t="str">
        <f>IFERROR(_xlfn.XLOOKUP($A325,Input_Raw!$A:$A,Input_Raw!$DF:$DF),"")</f>
        <v/>
      </c>
      <c r="N325" s="189" t="str">
        <f>IFERROR(_xlfn.XLOOKUP($A325,Input_Raw!$A:$A,Input_Raw!$DG:$DG),"")</f>
        <v/>
      </c>
      <c r="O325" s="219" t="str">
        <f>IFERROR(1-(SUMIF(Plant_BD!$B:$B,$A325,Plant_BD!$AL:$AL)/($AA325+SUMIF(Plant_BD!$B:$B,$A325,Plant_BD!$AL:$AL))),"")</f>
        <v/>
      </c>
      <c r="P325" s="219"/>
      <c r="Q325" s="220" t="str">
        <f>IFERROR(1-(SUMIF(Grid_BD!$B:$B,$A325,Grid_BD!$V:$V)/($AA325+SUMIF(Grid_BD!$B:$B,$A325,Grid_BD!$V:$V))),"")</f>
        <v/>
      </c>
      <c r="R325" s="219" t="str">
        <f>IFERROR(1-(SUMIF(Grid_BD!$B:$B,$A325,Grid_BD!$V:$V)/($AA325+SUMIF(Grid_BD!$B:$B,$A325,Grid_BD!$V:$V))),"")</f>
        <v/>
      </c>
      <c r="S325" s="9"/>
      <c r="T325" s="220"/>
      <c r="U325" s="221" t="str">
        <f t="shared" si="26"/>
        <v/>
      </c>
      <c r="V325" s="221" t="str">
        <f>IFERROR(_xlfn.XLOOKUP($A325,Input_Raw!$A:$A,Input_Raw!$FG:$FG),"")</f>
        <v/>
      </c>
      <c r="W325" s="222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78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22">
        <f>IFERROR(_xlfn.XLOOKUP($D325,'Modelling New'!$D:$D,'Modelling New'!O:O),"")</f>
        <v>0.8316109218354748</v>
      </c>
      <c r="AF325" s="222">
        <f>IFERROR(_xlfn.XLOOKUP($D325,'Modelling New'!$D:$D,'Modelling New'!W:W),"")</f>
        <v>0.21866912185763154</v>
      </c>
      <c r="AG325" s="222">
        <f>IFERROR(_xlfn.XLOOKUP($D325,'Modelling New'!$D:$D,'Modelling New'!AE:AE),"")</f>
        <v>0.995</v>
      </c>
      <c r="AH325" s="222">
        <f>IFERROR(_xlfn.XLOOKUP($D325,'Modelling New'!$D:$D,'Modelling New'!AF:AF),"")</f>
        <v>0.995</v>
      </c>
      <c r="AI325" s="9"/>
      <c r="AJ325" s="9"/>
      <c r="AK325" s="245"/>
      <c r="AL325" s="245"/>
      <c r="AM325" s="245"/>
      <c r="AN325" s="219"/>
      <c r="AO325" s="222"/>
      <c r="AP325" s="222"/>
      <c r="AQ325" s="222"/>
      <c r="AR325" s="223">
        <f>_xlfn.XLOOKUP(D325,'Modelling New'!$D:$D,'Modelling New'!$N:$N)</f>
        <v>130</v>
      </c>
      <c r="AS325" s="223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18">
        <f>Table13[[#This Row],[Date]]-DAY(Table13[[#This Row],[Date]])+1</f>
        <v>46054</v>
      </c>
      <c r="E326" s="9">
        <f t="shared" si="25"/>
        <v>28</v>
      </c>
      <c r="F326" s="188" t="str">
        <f>IFERROR(_xlfn.XLOOKUP($A326,Input_Raw!$A:$A,Input_Raw!$FC:$FC),"")</f>
        <v/>
      </c>
      <c r="G326" s="189" t="str">
        <f>IFERROR(_xlfn.XLOOKUP($A326,Input_Raw!$A:$A,Input_Raw!$CY:$CY),"")</f>
        <v/>
      </c>
      <c r="H326" s="189" t="str">
        <f>IFERROR(_xlfn.XLOOKUP($A326,Input_Raw!$A:$A,Input_Raw!$DA:$DA),"")</f>
        <v/>
      </c>
      <c r="I326" s="189" t="str">
        <f>IFERROR(_xlfn.XLOOKUP($A326,Input_Raw!$A:$A,Input_Raw!$CX:$CX),"")</f>
        <v/>
      </c>
      <c r="J326" s="189" t="str">
        <f>IFERROR(_xlfn.XLOOKUP($A326,Input_Raw!$A:$A,Input_Raw!$CZ:$CZ),"")</f>
        <v/>
      </c>
      <c r="K326" s="190" t="str">
        <f>IFERROR(_xlfn.XLOOKUP($A326,Input_Raw!$A:$A,Input_Raw!$DB:$DB),"")</f>
        <v/>
      </c>
      <c r="L326" s="190" t="str">
        <f>IFERROR(_xlfn.XLOOKUP($A326,Input_Raw!$A:$A,Input_Raw!$DC:$DC),"")</f>
        <v/>
      </c>
      <c r="M326" s="189" t="str">
        <f>IFERROR(_xlfn.XLOOKUP($A326,Input_Raw!$A:$A,Input_Raw!$DF:$DF),"")</f>
        <v/>
      </c>
      <c r="N326" s="189" t="str">
        <f>IFERROR(_xlfn.XLOOKUP($A326,Input_Raw!$A:$A,Input_Raw!$DG:$DG),"")</f>
        <v/>
      </c>
      <c r="O326" s="219" t="str">
        <f>IFERROR(1-(SUMIF(Plant_BD!$B:$B,$A326,Plant_BD!$AL:$AL)/($AA326+SUMIF(Plant_BD!$B:$B,$A326,Plant_BD!$AL:$AL))),"")</f>
        <v/>
      </c>
      <c r="P326" s="219"/>
      <c r="Q326" s="220" t="str">
        <f>IFERROR(1-(SUMIF(Grid_BD!$B:$B,$A326,Grid_BD!$V:$V)/($AA326+SUMIF(Grid_BD!$B:$B,$A326,Grid_BD!$V:$V))),"")</f>
        <v/>
      </c>
      <c r="R326" s="219" t="str">
        <f>IFERROR(1-(SUMIF(Grid_BD!$B:$B,$A326,Grid_BD!$V:$V)/($AA326+SUMIF(Grid_BD!$B:$B,$A326,Grid_BD!$V:$V))),"")</f>
        <v/>
      </c>
      <c r="S326" s="9"/>
      <c r="T326" s="220"/>
      <c r="U326" s="221" t="str">
        <f t="shared" si="26"/>
        <v/>
      </c>
      <c r="V326" s="221" t="str">
        <f>IFERROR(_xlfn.XLOOKUP($A326,Input_Raw!$A:$A,Input_Raw!$FG:$FG),"")</f>
        <v/>
      </c>
      <c r="W326" s="222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78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22">
        <f>IFERROR(_xlfn.XLOOKUP($D326,'Modelling New'!$D:$D,'Modelling New'!O:O),"")</f>
        <v>0.8316109218354748</v>
      </c>
      <c r="AF326" s="222">
        <f>IFERROR(_xlfn.XLOOKUP($D326,'Modelling New'!$D:$D,'Modelling New'!W:W),"")</f>
        <v>0.21866912185763154</v>
      </c>
      <c r="AG326" s="222">
        <f>IFERROR(_xlfn.XLOOKUP($D326,'Modelling New'!$D:$D,'Modelling New'!AE:AE),"")</f>
        <v>0.995</v>
      </c>
      <c r="AH326" s="222">
        <f>IFERROR(_xlfn.XLOOKUP($D326,'Modelling New'!$D:$D,'Modelling New'!AF:AF),"")</f>
        <v>0.995</v>
      </c>
      <c r="AI326" s="9"/>
      <c r="AJ326" s="9"/>
      <c r="AK326" s="245"/>
      <c r="AL326" s="245"/>
      <c r="AM326" s="245"/>
      <c r="AN326" s="219"/>
      <c r="AO326" s="222"/>
      <c r="AP326" s="222"/>
      <c r="AQ326" s="222"/>
      <c r="AR326" s="223">
        <f>_xlfn.XLOOKUP(D326,'Modelling New'!$D:$D,'Modelling New'!$N:$N)</f>
        <v>130</v>
      </c>
      <c r="AS326" s="223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18">
        <f>Table13[[#This Row],[Date]]-DAY(Table13[[#This Row],[Date]])+1</f>
        <v>46054</v>
      </c>
      <c r="E327" s="9">
        <f t="shared" si="25"/>
        <v>28</v>
      </c>
      <c r="F327" s="188" t="str">
        <f>IFERROR(_xlfn.XLOOKUP($A327,Input_Raw!$A:$A,Input_Raw!$FC:$FC),"")</f>
        <v/>
      </c>
      <c r="G327" s="178" t="str">
        <f>IFERROR(_xlfn.XLOOKUP($A327,Input_Raw!$A:$A,Input_Raw!$CY:$CY),"")</f>
        <v/>
      </c>
      <c r="H327" s="178" t="str">
        <f>IFERROR(_xlfn.XLOOKUP($A327,Input_Raw!$A:$A,Input_Raw!$DA:$DA),"")</f>
        <v/>
      </c>
      <c r="I327" s="178" t="str">
        <f>IFERROR(_xlfn.XLOOKUP($A327,Input_Raw!$A:$A,Input_Raw!$CX:$CX),"")</f>
        <v/>
      </c>
      <c r="J327" s="178" t="str">
        <f>IFERROR(_xlfn.XLOOKUP($A327,Input_Raw!$A:$A,Input_Raw!$CZ:$CZ),"")</f>
        <v/>
      </c>
      <c r="K327" s="190" t="str">
        <f>IFERROR(_xlfn.XLOOKUP($A327,Input_Raw!$A:$A,Input_Raw!$DB:$DB),"")</f>
        <v/>
      </c>
      <c r="L327" s="190" t="str">
        <f>IFERROR(_xlfn.XLOOKUP($A327,Input_Raw!$A:$A,Input_Raw!$DC:$DC),"")</f>
        <v/>
      </c>
      <c r="M327" s="189" t="str">
        <f>IFERROR(_xlfn.XLOOKUP($A327,Input_Raw!$A:$A,Input_Raw!$DF:$DF),"")</f>
        <v/>
      </c>
      <c r="N327" s="189" t="str">
        <f>IFERROR(_xlfn.XLOOKUP($A327,Input_Raw!$A:$A,Input_Raw!$DG:$DG),"")</f>
        <v/>
      </c>
      <c r="O327" s="219" t="str">
        <f>IFERROR(1-(SUMIF(Plant_BD!$B:$B,$A327,Plant_BD!$AL:$AL)/($AA327+SUMIF(Plant_BD!$B:$B,$A327,Plant_BD!$AL:$AL))),"")</f>
        <v/>
      </c>
      <c r="P327" s="219"/>
      <c r="Q327" s="220" t="str">
        <f>IFERROR(1-(SUMIF(Grid_BD!$B:$B,$A327,Grid_BD!$V:$V)/($AA327+SUMIF(Grid_BD!$B:$B,$A327,Grid_BD!$V:$V))),"")</f>
        <v/>
      </c>
      <c r="R327" s="219" t="str">
        <f>IFERROR(1-(SUMIF(Grid_BD!$B:$B,$A327,Grid_BD!$V:$V)/($AA327+SUMIF(Grid_BD!$B:$B,$A327,Grid_BD!$V:$V))),"")</f>
        <v/>
      </c>
      <c r="S327" s="9"/>
      <c r="T327" s="220"/>
      <c r="U327" s="221" t="str">
        <f t="shared" si="26"/>
        <v/>
      </c>
      <c r="V327" s="221" t="str">
        <f>IFERROR(_xlfn.XLOOKUP($A327,Input_Raw!$A:$A,Input_Raw!$FG:$FG),"")</f>
        <v/>
      </c>
      <c r="W327" s="222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78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22">
        <f>IFERROR(_xlfn.XLOOKUP($D327,'Modelling New'!$D:$D,'Modelling New'!O:O),"")</f>
        <v>0.8316109218354748</v>
      </c>
      <c r="AF327" s="222">
        <f>IFERROR(_xlfn.XLOOKUP($D327,'Modelling New'!$D:$D,'Modelling New'!W:W),"")</f>
        <v>0.21866912185763154</v>
      </c>
      <c r="AG327" s="222">
        <f>IFERROR(_xlfn.XLOOKUP($D327,'Modelling New'!$D:$D,'Modelling New'!AE:AE),"")</f>
        <v>0.995</v>
      </c>
      <c r="AH327" s="222">
        <f>IFERROR(_xlfn.XLOOKUP($D327,'Modelling New'!$D:$D,'Modelling New'!AF:AF),"")</f>
        <v>0.995</v>
      </c>
      <c r="AI327" s="9"/>
      <c r="AJ327" s="9"/>
      <c r="AK327" s="245"/>
      <c r="AL327" s="245"/>
      <c r="AM327" s="245"/>
      <c r="AN327" s="219"/>
      <c r="AO327" s="222"/>
      <c r="AP327" s="222"/>
      <c r="AQ327" s="222"/>
      <c r="AR327" s="223">
        <f>_xlfn.XLOOKUP(D327,'Modelling New'!$D:$D,'Modelling New'!$N:$N)</f>
        <v>130</v>
      </c>
      <c r="AS327" s="223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18">
        <f>Table13[[#This Row],[Date]]-DAY(Table13[[#This Row],[Date]])+1</f>
        <v>46054</v>
      </c>
      <c r="E328" s="9">
        <f t="shared" si="25"/>
        <v>28</v>
      </c>
      <c r="F328" s="188" t="str">
        <f>IFERROR(_xlfn.XLOOKUP($A328,Input_Raw!$A:$A,Input_Raw!$FC:$FC),"")</f>
        <v/>
      </c>
      <c r="G328" s="189" t="str">
        <f>IFERROR(_xlfn.XLOOKUP($A328,Input_Raw!$A:$A,Input_Raw!$CY:$CY),"")</f>
        <v/>
      </c>
      <c r="H328" s="189" t="str">
        <f>IFERROR(_xlfn.XLOOKUP($A328,Input_Raw!$A:$A,Input_Raw!$DA:$DA),"")</f>
        <v/>
      </c>
      <c r="I328" s="189" t="str">
        <f>IFERROR(_xlfn.XLOOKUP($A328,Input_Raw!$A:$A,Input_Raw!$CX:$CX),"")</f>
        <v/>
      </c>
      <c r="J328" s="189" t="str">
        <f>IFERROR(_xlfn.XLOOKUP($A328,Input_Raw!$A:$A,Input_Raw!$CZ:$CZ),"")</f>
        <v/>
      </c>
      <c r="K328" s="190" t="str">
        <f>IFERROR(_xlfn.XLOOKUP($A328,Input_Raw!$A:$A,Input_Raw!$DB:$DB),"")</f>
        <v/>
      </c>
      <c r="L328" s="190" t="str">
        <f>IFERROR(_xlfn.XLOOKUP($A328,Input_Raw!$A:$A,Input_Raw!$DC:$DC),"")</f>
        <v/>
      </c>
      <c r="M328" s="189" t="str">
        <f>IFERROR(_xlfn.XLOOKUP($A328,Input_Raw!$A:$A,Input_Raw!$DF:$DF),"")</f>
        <v/>
      </c>
      <c r="N328" s="189" t="str">
        <f>IFERROR(_xlfn.XLOOKUP($A328,Input_Raw!$A:$A,Input_Raw!$DG:$DG),"")</f>
        <v/>
      </c>
      <c r="O328" s="219" t="str">
        <f>IFERROR(1-(SUMIF(Plant_BD!$B:$B,$A328,Plant_BD!$AL:$AL)/($AA328+SUMIF(Plant_BD!$B:$B,$A328,Plant_BD!$AL:$AL))),"")</f>
        <v/>
      </c>
      <c r="P328" s="219"/>
      <c r="Q328" s="220" t="str">
        <f>IFERROR(1-(SUMIF(Grid_BD!$B:$B,$A328,Grid_BD!$V:$V)/($AA328+SUMIF(Grid_BD!$B:$B,$A328,Grid_BD!$V:$V))),"")</f>
        <v/>
      </c>
      <c r="R328" s="219" t="str">
        <f>IFERROR(1-(SUMIF(Grid_BD!$B:$B,$A328,Grid_BD!$V:$V)/($AA328+SUMIF(Grid_BD!$B:$B,$A328,Grid_BD!$V:$V))),"")</f>
        <v/>
      </c>
      <c r="S328" s="9"/>
      <c r="T328" s="220"/>
      <c r="U328" s="221" t="str">
        <f t="shared" si="26"/>
        <v/>
      </c>
      <c r="V328" s="221" t="str">
        <f>IFERROR(_xlfn.XLOOKUP($A328,Input_Raw!$A:$A,Input_Raw!$FG:$FG),"")</f>
        <v/>
      </c>
      <c r="W328" s="222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78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22">
        <f>IFERROR(_xlfn.XLOOKUP($D328,'Modelling New'!$D:$D,'Modelling New'!O:O),"")</f>
        <v>0.8316109218354748</v>
      </c>
      <c r="AF328" s="222">
        <f>IFERROR(_xlfn.XLOOKUP($D328,'Modelling New'!$D:$D,'Modelling New'!W:W),"")</f>
        <v>0.21866912185763154</v>
      </c>
      <c r="AG328" s="222">
        <f>IFERROR(_xlfn.XLOOKUP($D328,'Modelling New'!$D:$D,'Modelling New'!AE:AE),"")</f>
        <v>0.995</v>
      </c>
      <c r="AH328" s="222">
        <f>IFERROR(_xlfn.XLOOKUP($D328,'Modelling New'!$D:$D,'Modelling New'!AF:AF),"")</f>
        <v>0.995</v>
      </c>
      <c r="AI328" s="9"/>
      <c r="AJ328" s="9"/>
      <c r="AK328" s="245"/>
      <c r="AL328" s="245"/>
      <c r="AM328" s="245"/>
      <c r="AN328" s="219"/>
      <c r="AO328" s="222"/>
      <c r="AP328" s="222"/>
      <c r="AQ328" s="222"/>
      <c r="AR328" s="223">
        <f>_xlfn.XLOOKUP(D328,'Modelling New'!$D:$D,'Modelling New'!$N:$N)</f>
        <v>130</v>
      </c>
      <c r="AS328" s="223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18">
        <f>Table13[[#This Row],[Date]]-DAY(Table13[[#This Row],[Date]])+1</f>
        <v>46054</v>
      </c>
      <c r="E329" s="9">
        <f t="shared" si="25"/>
        <v>28</v>
      </c>
      <c r="F329" s="188" t="str">
        <f>IFERROR(_xlfn.XLOOKUP($A329,Input_Raw!$A:$A,Input_Raw!$FC:$FC),"")</f>
        <v/>
      </c>
      <c r="G329" s="178" t="str">
        <f>IFERROR(_xlfn.XLOOKUP($A329,Input_Raw!$A:$A,Input_Raw!$CY:$CY),"")</f>
        <v/>
      </c>
      <c r="H329" s="178" t="str">
        <f>IFERROR(_xlfn.XLOOKUP($A329,Input_Raw!$A:$A,Input_Raw!$DA:$DA),"")</f>
        <v/>
      </c>
      <c r="I329" s="178" t="str">
        <f>IFERROR(_xlfn.XLOOKUP($A329,Input_Raw!$A:$A,Input_Raw!$CX:$CX),"")</f>
        <v/>
      </c>
      <c r="J329" s="178" t="str">
        <f>IFERROR(_xlfn.XLOOKUP($A329,Input_Raw!$A:$A,Input_Raw!$CZ:$CZ),"")</f>
        <v/>
      </c>
      <c r="K329" s="190" t="str">
        <f>IFERROR(_xlfn.XLOOKUP($A329,Input_Raw!$A:$A,Input_Raw!$DB:$DB),"")</f>
        <v/>
      </c>
      <c r="L329" s="190" t="str">
        <f>IFERROR(_xlfn.XLOOKUP($A329,Input_Raw!$A:$A,Input_Raw!$DC:$DC),"")</f>
        <v/>
      </c>
      <c r="M329" s="189" t="str">
        <f>IFERROR(_xlfn.XLOOKUP($A329,Input_Raw!$A:$A,Input_Raw!$DF:$DF),"")</f>
        <v/>
      </c>
      <c r="N329" s="189" t="str">
        <f>IFERROR(_xlfn.XLOOKUP($A329,Input_Raw!$A:$A,Input_Raw!$DG:$DG),"")</f>
        <v/>
      </c>
      <c r="O329" s="219" t="str">
        <f>IFERROR(1-(SUMIF(Plant_BD!$B:$B,$A329,Plant_BD!$AL:$AL)/($AA329+SUMIF(Plant_BD!$B:$B,$A329,Plant_BD!$AL:$AL))),"")</f>
        <v/>
      </c>
      <c r="P329" s="219"/>
      <c r="Q329" s="220" t="str">
        <f>IFERROR(1-(SUMIF(Grid_BD!$B:$B,$A329,Grid_BD!$V:$V)/($AA329+SUMIF(Grid_BD!$B:$B,$A329,Grid_BD!$V:$V))),"")</f>
        <v/>
      </c>
      <c r="R329" s="219" t="str">
        <f>IFERROR(1-(SUMIF(Grid_BD!$B:$B,$A329,Grid_BD!$V:$V)/($AA329+SUMIF(Grid_BD!$B:$B,$A329,Grid_BD!$V:$V))),"")</f>
        <v/>
      </c>
      <c r="S329" s="9"/>
      <c r="T329" s="220"/>
      <c r="U329" s="221" t="str">
        <f t="shared" si="26"/>
        <v/>
      </c>
      <c r="V329" s="221" t="str">
        <f>IFERROR(_xlfn.XLOOKUP($A329,Input_Raw!$A:$A,Input_Raw!$FG:$FG),"")</f>
        <v/>
      </c>
      <c r="W329" s="222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78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22">
        <f>IFERROR(_xlfn.XLOOKUP($D329,'Modelling New'!$D:$D,'Modelling New'!O:O),"")</f>
        <v>0.8316109218354748</v>
      </c>
      <c r="AF329" s="222">
        <f>IFERROR(_xlfn.XLOOKUP($D329,'Modelling New'!$D:$D,'Modelling New'!W:W),"")</f>
        <v>0.21866912185763154</v>
      </c>
      <c r="AG329" s="222">
        <f>IFERROR(_xlfn.XLOOKUP($D329,'Modelling New'!$D:$D,'Modelling New'!AE:AE),"")</f>
        <v>0.995</v>
      </c>
      <c r="AH329" s="222">
        <f>IFERROR(_xlfn.XLOOKUP($D329,'Modelling New'!$D:$D,'Modelling New'!AF:AF),"")</f>
        <v>0.995</v>
      </c>
      <c r="AI329" s="9"/>
      <c r="AJ329" s="9"/>
      <c r="AK329" s="245"/>
      <c r="AL329" s="245"/>
      <c r="AM329" s="245"/>
      <c r="AN329" s="219"/>
      <c r="AO329" s="222"/>
      <c r="AP329" s="222"/>
      <c r="AQ329" s="222"/>
      <c r="AR329" s="223">
        <f>_xlfn.XLOOKUP(D329,'Modelling New'!$D:$D,'Modelling New'!$N:$N)</f>
        <v>130</v>
      </c>
      <c r="AS329" s="223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18">
        <f>Table13[[#This Row],[Date]]-DAY(Table13[[#This Row],[Date]])+1</f>
        <v>46054</v>
      </c>
      <c r="E330" s="9">
        <f t="shared" si="25"/>
        <v>28</v>
      </c>
      <c r="F330" s="188" t="str">
        <f>IFERROR(_xlfn.XLOOKUP($A330,Input_Raw!$A:$A,Input_Raw!$FC:$FC),"")</f>
        <v/>
      </c>
      <c r="G330" s="189" t="str">
        <f>IFERROR(_xlfn.XLOOKUP($A330,Input_Raw!$A:$A,Input_Raw!$CY:$CY),"")</f>
        <v/>
      </c>
      <c r="H330" s="189" t="str">
        <f>IFERROR(_xlfn.XLOOKUP($A330,Input_Raw!$A:$A,Input_Raw!$DA:$DA),"")</f>
        <v/>
      </c>
      <c r="I330" s="189" t="str">
        <f>IFERROR(_xlfn.XLOOKUP($A330,Input_Raw!$A:$A,Input_Raw!$CX:$CX),"")</f>
        <v/>
      </c>
      <c r="J330" s="189" t="str">
        <f>IFERROR(_xlfn.XLOOKUP($A330,Input_Raw!$A:$A,Input_Raw!$CZ:$CZ),"")</f>
        <v/>
      </c>
      <c r="K330" s="190" t="str">
        <f>IFERROR(_xlfn.XLOOKUP($A330,Input_Raw!$A:$A,Input_Raw!$DB:$DB),"")</f>
        <v/>
      </c>
      <c r="L330" s="190" t="str">
        <f>IFERROR(_xlfn.XLOOKUP($A330,Input_Raw!$A:$A,Input_Raw!$DC:$DC),"")</f>
        <v/>
      </c>
      <c r="M330" s="189" t="str">
        <f>IFERROR(_xlfn.XLOOKUP($A330,Input_Raw!$A:$A,Input_Raw!$DF:$DF),"")</f>
        <v/>
      </c>
      <c r="N330" s="189" t="str">
        <f>IFERROR(_xlfn.XLOOKUP($A330,Input_Raw!$A:$A,Input_Raw!$DG:$DG),"")</f>
        <v/>
      </c>
      <c r="O330" s="219" t="str">
        <f>IFERROR(1-(SUMIF(Plant_BD!$B:$B,$A330,Plant_BD!$AL:$AL)/($AA330+SUMIF(Plant_BD!$B:$B,$A330,Plant_BD!$AL:$AL))),"")</f>
        <v/>
      </c>
      <c r="P330" s="219"/>
      <c r="Q330" s="220" t="str">
        <f>IFERROR(1-(SUMIF(Grid_BD!$B:$B,$A330,Grid_BD!$V:$V)/($AA330+SUMIF(Grid_BD!$B:$B,$A330,Grid_BD!$V:$V))),"")</f>
        <v/>
      </c>
      <c r="R330" s="219" t="str">
        <f>IFERROR(1-(SUMIF(Grid_BD!$B:$B,$A330,Grid_BD!$V:$V)/($AA330+SUMIF(Grid_BD!$B:$B,$A330,Grid_BD!$V:$V))),"")</f>
        <v/>
      </c>
      <c r="S330" s="9"/>
      <c r="T330" s="220"/>
      <c r="U330" s="221" t="str">
        <f t="shared" si="26"/>
        <v/>
      </c>
      <c r="V330" s="221" t="str">
        <f>IFERROR(_xlfn.XLOOKUP($A330,Input_Raw!$A:$A,Input_Raw!$FG:$FG),"")</f>
        <v/>
      </c>
      <c r="W330" s="222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78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22">
        <f>IFERROR(_xlfn.XLOOKUP($D330,'Modelling New'!$D:$D,'Modelling New'!O:O),"")</f>
        <v>0.8316109218354748</v>
      </c>
      <c r="AF330" s="222">
        <f>IFERROR(_xlfn.XLOOKUP($D330,'Modelling New'!$D:$D,'Modelling New'!W:W),"")</f>
        <v>0.21866912185763154</v>
      </c>
      <c r="AG330" s="222">
        <f>IFERROR(_xlfn.XLOOKUP($D330,'Modelling New'!$D:$D,'Modelling New'!AE:AE),"")</f>
        <v>0.995</v>
      </c>
      <c r="AH330" s="222">
        <f>IFERROR(_xlfn.XLOOKUP($D330,'Modelling New'!$D:$D,'Modelling New'!AF:AF),"")</f>
        <v>0.995</v>
      </c>
      <c r="AI330" s="9"/>
      <c r="AJ330" s="9"/>
      <c r="AK330" s="245"/>
      <c r="AL330" s="245"/>
      <c r="AM330" s="245"/>
      <c r="AN330" s="219"/>
      <c r="AO330" s="222"/>
      <c r="AP330" s="222"/>
      <c r="AQ330" s="222"/>
      <c r="AR330" s="223">
        <f>_xlfn.XLOOKUP(D330,'Modelling New'!$D:$D,'Modelling New'!$N:$N)</f>
        <v>130</v>
      </c>
      <c r="AS330" s="223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18">
        <f>Table13[[#This Row],[Date]]-DAY(Table13[[#This Row],[Date]])+1</f>
        <v>46054</v>
      </c>
      <c r="E331" s="9">
        <f t="shared" si="25"/>
        <v>28</v>
      </c>
      <c r="F331" s="188" t="str">
        <f>IFERROR(_xlfn.XLOOKUP($A331,Input_Raw!$A:$A,Input_Raw!$FC:$FC),"")</f>
        <v/>
      </c>
      <c r="G331" s="178" t="str">
        <f>IFERROR(_xlfn.XLOOKUP($A331,Input_Raw!$A:$A,Input_Raw!$CY:$CY),"")</f>
        <v/>
      </c>
      <c r="H331" s="178" t="str">
        <f>IFERROR(_xlfn.XLOOKUP($A331,Input_Raw!$A:$A,Input_Raw!$DA:$DA),"")</f>
        <v/>
      </c>
      <c r="I331" s="178" t="str">
        <f>IFERROR(_xlfn.XLOOKUP($A331,Input_Raw!$A:$A,Input_Raw!$CX:$CX),"")</f>
        <v/>
      </c>
      <c r="J331" s="178" t="str">
        <f>IFERROR(_xlfn.XLOOKUP($A331,Input_Raw!$A:$A,Input_Raw!$CZ:$CZ),"")</f>
        <v/>
      </c>
      <c r="K331" s="190" t="str">
        <f>IFERROR(_xlfn.XLOOKUP($A331,Input_Raw!$A:$A,Input_Raw!$DB:$DB),"")</f>
        <v/>
      </c>
      <c r="L331" s="190" t="str">
        <f>IFERROR(_xlfn.XLOOKUP($A331,Input_Raw!$A:$A,Input_Raw!$DC:$DC),"")</f>
        <v/>
      </c>
      <c r="M331" s="189" t="str">
        <f>IFERROR(_xlfn.XLOOKUP($A331,Input_Raw!$A:$A,Input_Raw!$DF:$DF),"")</f>
        <v/>
      </c>
      <c r="N331" s="189" t="str">
        <f>IFERROR(_xlfn.XLOOKUP($A331,Input_Raw!$A:$A,Input_Raw!$DG:$DG),"")</f>
        <v/>
      </c>
      <c r="O331" s="219" t="str">
        <f>IFERROR(1-(SUMIF(Plant_BD!$B:$B,$A331,Plant_BD!$AL:$AL)/($AA331+SUMIF(Plant_BD!$B:$B,$A331,Plant_BD!$AL:$AL))),"")</f>
        <v/>
      </c>
      <c r="P331" s="219"/>
      <c r="Q331" s="220" t="str">
        <f>IFERROR(1-(SUMIF(Grid_BD!$B:$B,$A331,Grid_BD!$V:$V)/($AA331+SUMIF(Grid_BD!$B:$B,$A331,Grid_BD!$V:$V))),"")</f>
        <v/>
      </c>
      <c r="R331" s="219" t="str">
        <f>IFERROR(1-(SUMIF(Grid_BD!$B:$B,$A331,Grid_BD!$V:$V)/($AA331+SUMIF(Grid_BD!$B:$B,$A331,Grid_BD!$V:$V))),"")</f>
        <v/>
      </c>
      <c r="S331" s="9"/>
      <c r="T331" s="220"/>
      <c r="U331" s="221" t="str">
        <f t="shared" si="26"/>
        <v/>
      </c>
      <c r="V331" s="221" t="str">
        <f>IFERROR(_xlfn.XLOOKUP($A331,Input_Raw!$A:$A,Input_Raw!$FG:$FG),"")</f>
        <v/>
      </c>
      <c r="W331" s="222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78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22">
        <f>IFERROR(_xlfn.XLOOKUP($D331,'Modelling New'!$D:$D,'Modelling New'!O:O),"")</f>
        <v>0.8316109218354748</v>
      </c>
      <c r="AF331" s="222">
        <f>IFERROR(_xlfn.XLOOKUP($D331,'Modelling New'!$D:$D,'Modelling New'!W:W),"")</f>
        <v>0.21866912185763154</v>
      </c>
      <c r="AG331" s="222">
        <f>IFERROR(_xlfn.XLOOKUP($D331,'Modelling New'!$D:$D,'Modelling New'!AE:AE),"")</f>
        <v>0.995</v>
      </c>
      <c r="AH331" s="222">
        <f>IFERROR(_xlfn.XLOOKUP($D331,'Modelling New'!$D:$D,'Modelling New'!AF:AF),"")</f>
        <v>0.995</v>
      </c>
      <c r="AI331" s="9"/>
      <c r="AJ331" s="9"/>
      <c r="AK331" s="245"/>
      <c r="AL331" s="245"/>
      <c r="AM331" s="245"/>
      <c r="AN331" s="219"/>
      <c r="AO331" s="222"/>
      <c r="AP331" s="222"/>
      <c r="AQ331" s="222"/>
      <c r="AR331" s="223">
        <f>_xlfn.XLOOKUP(D331,'Modelling New'!$D:$D,'Modelling New'!$N:$N)</f>
        <v>130</v>
      </c>
      <c r="AS331" s="223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18">
        <f>Table13[[#This Row],[Date]]-DAY(Table13[[#This Row],[Date]])+1</f>
        <v>46054</v>
      </c>
      <c r="E332" s="9">
        <f t="shared" si="25"/>
        <v>28</v>
      </c>
      <c r="F332" s="188" t="str">
        <f>IFERROR(_xlfn.XLOOKUP($A332,Input_Raw!$A:$A,Input_Raw!$FC:$FC),"")</f>
        <v/>
      </c>
      <c r="G332" s="189" t="str">
        <f>IFERROR(_xlfn.XLOOKUP($A332,Input_Raw!$A:$A,Input_Raw!$CY:$CY),"")</f>
        <v/>
      </c>
      <c r="H332" s="189" t="str">
        <f>IFERROR(_xlfn.XLOOKUP($A332,Input_Raw!$A:$A,Input_Raw!$DA:$DA),"")</f>
        <v/>
      </c>
      <c r="I332" s="189" t="str">
        <f>IFERROR(_xlfn.XLOOKUP($A332,Input_Raw!$A:$A,Input_Raw!$CX:$CX),"")</f>
        <v/>
      </c>
      <c r="J332" s="189" t="str">
        <f>IFERROR(_xlfn.XLOOKUP($A332,Input_Raw!$A:$A,Input_Raw!$CZ:$CZ),"")</f>
        <v/>
      </c>
      <c r="K332" s="190" t="str">
        <f>IFERROR(_xlfn.XLOOKUP($A332,Input_Raw!$A:$A,Input_Raw!$DB:$DB),"")</f>
        <v/>
      </c>
      <c r="L332" s="190" t="str">
        <f>IFERROR(_xlfn.XLOOKUP($A332,Input_Raw!$A:$A,Input_Raw!$DC:$DC),"")</f>
        <v/>
      </c>
      <c r="M332" s="189" t="str">
        <f>IFERROR(_xlfn.XLOOKUP($A332,Input_Raw!$A:$A,Input_Raw!$DF:$DF),"")</f>
        <v/>
      </c>
      <c r="N332" s="189" t="str">
        <f>IFERROR(_xlfn.XLOOKUP($A332,Input_Raw!$A:$A,Input_Raw!$DG:$DG),"")</f>
        <v/>
      </c>
      <c r="O332" s="219" t="str">
        <f>IFERROR(1-(SUMIF(Plant_BD!$B:$B,$A332,Plant_BD!$AL:$AL)/($AA332+SUMIF(Plant_BD!$B:$B,$A332,Plant_BD!$AL:$AL))),"")</f>
        <v/>
      </c>
      <c r="P332" s="219"/>
      <c r="Q332" s="220" t="str">
        <f>IFERROR(1-(SUMIF(Grid_BD!$B:$B,$A332,Grid_BD!$V:$V)/($AA332+SUMIF(Grid_BD!$B:$B,$A332,Grid_BD!$V:$V))),"")</f>
        <v/>
      </c>
      <c r="R332" s="219" t="str">
        <f>IFERROR(1-(SUMIF(Grid_BD!$B:$B,$A332,Grid_BD!$V:$V)/($AA332+SUMIF(Grid_BD!$B:$B,$A332,Grid_BD!$V:$V))),"")</f>
        <v/>
      </c>
      <c r="S332" s="9"/>
      <c r="T332" s="220"/>
      <c r="U332" s="221" t="str">
        <f t="shared" si="26"/>
        <v/>
      </c>
      <c r="V332" s="221" t="str">
        <f>IFERROR(_xlfn.XLOOKUP($A332,Input_Raw!$A:$A,Input_Raw!$FG:$FG),"")</f>
        <v/>
      </c>
      <c r="W332" s="222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78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22">
        <f>IFERROR(_xlfn.XLOOKUP($D332,'Modelling New'!$D:$D,'Modelling New'!O:O),"")</f>
        <v>0.8316109218354748</v>
      </c>
      <c r="AF332" s="222">
        <f>IFERROR(_xlfn.XLOOKUP($D332,'Modelling New'!$D:$D,'Modelling New'!W:W),"")</f>
        <v>0.21866912185763154</v>
      </c>
      <c r="AG332" s="222">
        <f>IFERROR(_xlfn.XLOOKUP($D332,'Modelling New'!$D:$D,'Modelling New'!AE:AE),"")</f>
        <v>0.995</v>
      </c>
      <c r="AH332" s="222">
        <f>IFERROR(_xlfn.XLOOKUP($D332,'Modelling New'!$D:$D,'Modelling New'!AF:AF),"")</f>
        <v>0.995</v>
      </c>
      <c r="AI332" s="9"/>
      <c r="AJ332" s="9"/>
      <c r="AK332" s="245"/>
      <c r="AL332" s="245"/>
      <c r="AM332" s="245"/>
      <c r="AN332" s="219"/>
      <c r="AO332" s="222"/>
      <c r="AP332" s="222"/>
      <c r="AQ332" s="222"/>
      <c r="AR332" s="223">
        <f>_xlfn.XLOOKUP(D332,'Modelling New'!$D:$D,'Modelling New'!$N:$N)</f>
        <v>130</v>
      </c>
      <c r="AS332" s="223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18">
        <f>Table13[[#This Row],[Date]]-DAY(Table13[[#This Row],[Date]])+1</f>
        <v>46054</v>
      </c>
      <c r="E333" s="9">
        <f t="shared" si="25"/>
        <v>28</v>
      </c>
      <c r="F333" s="188" t="str">
        <f>IFERROR(_xlfn.XLOOKUP($A333,Input_Raw!$A:$A,Input_Raw!$FC:$FC),"")</f>
        <v/>
      </c>
      <c r="G333" s="178" t="str">
        <f>IFERROR(_xlfn.XLOOKUP($A333,Input_Raw!$A:$A,Input_Raw!$CY:$CY),"")</f>
        <v/>
      </c>
      <c r="H333" s="178" t="str">
        <f>IFERROR(_xlfn.XLOOKUP($A333,Input_Raw!$A:$A,Input_Raw!$DA:$DA),"")</f>
        <v/>
      </c>
      <c r="I333" s="178" t="str">
        <f>IFERROR(_xlfn.XLOOKUP($A333,Input_Raw!$A:$A,Input_Raw!$CX:$CX),"")</f>
        <v/>
      </c>
      <c r="J333" s="178" t="str">
        <f>IFERROR(_xlfn.XLOOKUP($A333,Input_Raw!$A:$A,Input_Raw!$CZ:$CZ),"")</f>
        <v/>
      </c>
      <c r="K333" s="190" t="str">
        <f>IFERROR(_xlfn.XLOOKUP($A333,Input_Raw!$A:$A,Input_Raw!$DB:$DB),"")</f>
        <v/>
      </c>
      <c r="L333" s="190" t="str">
        <f>IFERROR(_xlfn.XLOOKUP($A333,Input_Raw!$A:$A,Input_Raw!$DC:$DC),"")</f>
        <v/>
      </c>
      <c r="M333" s="189" t="str">
        <f>IFERROR(_xlfn.XLOOKUP($A333,Input_Raw!$A:$A,Input_Raw!$DF:$DF),"")</f>
        <v/>
      </c>
      <c r="N333" s="189" t="str">
        <f>IFERROR(_xlfn.XLOOKUP($A333,Input_Raw!$A:$A,Input_Raw!$DG:$DG),"")</f>
        <v/>
      </c>
      <c r="O333" s="219" t="str">
        <f>IFERROR(1-(SUMIF(Plant_BD!$B:$B,$A333,Plant_BD!$AL:$AL)/($AA333+SUMIF(Plant_BD!$B:$B,$A333,Plant_BD!$AL:$AL))),"")</f>
        <v/>
      </c>
      <c r="P333" s="219"/>
      <c r="Q333" s="220" t="str">
        <f>IFERROR(1-(SUMIF(Grid_BD!$B:$B,$A333,Grid_BD!$V:$V)/($AA333+SUMIF(Grid_BD!$B:$B,$A333,Grid_BD!$V:$V))),"")</f>
        <v/>
      </c>
      <c r="R333" s="219" t="str">
        <f>IFERROR(1-(SUMIF(Grid_BD!$B:$B,$A333,Grid_BD!$V:$V)/($AA333+SUMIF(Grid_BD!$B:$B,$A333,Grid_BD!$V:$V))),"")</f>
        <v/>
      </c>
      <c r="S333" s="9"/>
      <c r="T333" s="220"/>
      <c r="U333" s="221" t="str">
        <f t="shared" si="26"/>
        <v/>
      </c>
      <c r="V333" s="221" t="str">
        <f>IFERROR(_xlfn.XLOOKUP($A333,Input_Raw!$A:$A,Input_Raw!$FG:$FG),"")</f>
        <v/>
      </c>
      <c r="W333" s="222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78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22">
        <f>IFERROR(_xlfn.XLOOKUP($D333,'Modelling New'!$D:$D,'Modelling New'!O:O),"")</f>
        <v>0.8316109218354748</v>
      </c>
      <c r="AF333" s="222">
        <f>IFERROR(_xlfn.XLOOKUP($D333,'Modelling New'!$D:$D,'Modelling New'!W:W),"")</f>
        <v>0.21866912185763154</v>
      </c>
      <c r="AG333" s="222">
        <f>IFERROR(_xlfn.XLOOKUP($D333,'Modelling New'!$D:$D,'Modelling New'!AE:AE),"")</f>
        <v>0.995</v>
      </c>
      <c r="AH333" s="222">
        <f>IFERROR(_xlfn.XLOOKUP($D333,'Modelling New'!$D:$D,'Modelling New'!AF:AF),"")</f>
        <v>0.995</v>
      </c>
      <c r="AI333" s="9"/>
      <c r="AJ333" s="9"/>
      <c r="AK333" s="245"/>
      <c r="AL333" s="245"/>
      <c r="AM333" s="245"/>
      <c r="AN333" s="219"/>
      <c r="AO333" s="222"/>
      <c r="AP333" s="222"/>
      <c r="AQ333" s="222"/>
      <c r="AR333" s="223">
        <f>_xlfn.XLOOKUP(D333,'Modelling New'!$D:$D,'Modelling New'!$N:$N)</f>
        <v>130</v>
      </c>
      <c r="AS333" s="223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18">
        <f>Table13[[#This Row],[Date]]-DAY(Table13[[#This Row],[Date]])+1</f>
        <v>46054</v>
      </c>
      <c r="E334" s="9">
        <f t="shared" si="25"/>
        <v>28</v>
      </c>
      <c r="F334" s="188" t="str">
        <f>IFERROR(_xlfn.XLOOKUP($A334,Input_Raw!$A:$A,Input_Raw!$FC:$FC),"")</f>
        <v/>
      </c>
      <c r="G334" s="189" t="str">
        <f>IFERROR(_xlfn.XLOOKUP($A334,Input_Raw!$A:$A,Input_Raw!$CY:$CY),"")</f>
        <v/>
      </c>
      <c r="H334" s="189" t="str">
        <f>IFERROR(_xlfn.XLOOKUP($A334,Input_Raw!$A:$A,Input_Raw!$DA:$DA),"")</f>
        <v/>
      </c>
      <c r="I334" s="189" t="str">
        <f>IFERROR(_xlfn.XLOOKUP($A334,Input_Raw!$A:$A,Input_Raw!$CX:$CX),"")</f>
        <v/>
      </c>
      <c r="J334" s="189" t="str">
        <f>IFERROR(_xlfn.XLOOKUP($A334,Input_Raw!$A:$A,Input_Raw!$CZ:$CZ),"")</f>
        <v/>
      </c>
      <c r="K334" s="190" t="str">
        <f>IFERROR(_xlfn.XLOOKUP($A334,Input_Raw!$A:$A,Input_Raw!$DB:$DB),"")</f>
        <v/>
      </c>
      <c r="L334" s="190" t="str">
        <f>IFERROR(_xlfn.XLOOKUP($A334,Input_Raw!$A:$A,Input_Raw!$DC:$DC),"")</f>
        <v/>
      </c>
      <c r="M334" s="189" t="str">
        <f>IFERROR(_xlfn.XLOOKUP($A334,Input_Raw!$A:$A,Input_Raw!$DF:$DF),"")</f>
        <v/>
      </c>
      <c r="N334" s="189" t="str">
        <f>IFERROR(_xlfn.XLOOKUP($A334,Input_Raw!$A:$A,Input_Raw!$DG:$DG),"")</f>
        <v/>
      </c>
      <c r="O334" s="219" t="str">
        <f>IFERROR(1-(SUMIF(Plant_BD!$B:$B,$A334,Plant_BD!$AL:$AL)/($AA334+SUMIF(Plant_BD!$B:$B,$A334,Plant_BD!$AL:$AL))),"")</f>
        <v/>
      </c>
      <c r="P334" s="219"/>
      <c r="Q334" s="220" t="str">
        <f>IFERROR(1-(SUMIF(Grid_BD!$B:$B,$A334,Grid_BD!$V:$V)/($AA334+SUMIF(Grid_BD!$B:$B,$A334,Grid_BD!$V:$V))),"")</f>
        <v/>
      </c>
      <c r="R334" s="219" t="str">
        <f>IFERROR(1-(SUMIF(Grid_BD!$B:$B,$A334,Grid_BD!$V:$V)/($AA334+SUMIF(Grid_BD!$B:$B,$A334,Grid_BD!$V:$V))),"")</f>
        <v/>
      </c>
      <c r="S334" s="9"/>
      <c r="T334" s="220"/>
      <c r="U334" s="221" t="str">
        <f t="shared" si="26"/>
        <v/>
      </c>
      <c r="V334" s="221" t="str">
        <f>IFERROR(_xlfn.XLOOKUP($A334,Input_Raw!$A:$A,Input_Raw!$FG:$FG),"")</f>
        <v/>
      </c>
      <c r="W334" s="222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78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22">
        <f>IFERROR(_xlfn.XLOOKUP($D334,'Modelling New'!$D:$D,'Modelling New'!O:O),"")</f>
        <v>0.8316109218354748</v>
      </c>
      <c r="AF334" s="222">
        <f>IFERROR(_xlfn.XLOOKUP($D334,'Modelling New'!$D:$D,'Modelling New'!W:W),"")</f>
        <v>0.21866912185763154</v>
      </c>
      <c r="AG334" s="222">
        <f>IFERROR(_xlfn.XLOOKUP($D334,'Modelling New'!$D:$D,'Modelling New'!AE:AE),"")</f>
        <v>0.995</v>
      </c>
      <c r="AH334" s="222">
        <f>IFERROR(_xlfn.XLOOKUP($D334,'Modelling New'!$D:$D,'Modelling New'!AF:AF),"")</f>
        <v>0.995</v>
      </c>
      <c r="AI334" s="9"/>
      <c r="AJ334" s="9"/>
      <c r="AK334" s="245"/>
      <c r="AL334" s="245"/>
      <c r="AM334" s="245"/>
      <c r="AN334" s="219"/>
      <c r="AO334" s="222"/>
      <c r="AP334" s="222"/>
      <c r="AQ334" s="222"/>
      <c r="AR334" s="223">
        <f>_xlfn.XLOOKUP(D334,'Modelling New'!$D:$D,'Modelling New'!$N:$N)</f>
        <v>130</v>
      </c>
      <c r="AS334" s="223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18">
        <f>Table13[[#This Row],[Date]]-DAY(Table13[[#This Row],[Date]])+1</f>
        <v>46054</v>
      </c>
      <c r="E335" s="9">
        <f t="shared" si="25"/>
        <v>28</v>
      </c>
      <c r="F335" s="188" t="str">
        <f>IFERROR(_xlfn.XLOOKUP($A335,Input_Raw!$A:$A,Input_Raw!$FC:$FC),"")</f>
        <v/>
      </c>
      <c r="G335" s="178" t="str">
        <f>IFERROR(_xlfn.XLOOKUP($A335,Input_Raw!$A:$A,Input_Raw!$CY:$CY),"")</f>
        <v/>
      </c>
      <c r="H335" s="178" t="str">
        <f>IFERROR(_xlfn.XLOOKUP($A335,Input_Raw!$A:$A,Input_Raw!$DA:$DA),"")</f>
        <v/>
      </c>
      <c r="I335" s="178" t="str">
        <f>IFERROR(_xlfn.XLOOKUP($A335,Input_Raw!$A:$A,Input_Raw!$CX:$CX),"")</f>
        <v/>
      </c>
      <c r="J335" s="178" t="str">
        <f>IFERROR(_xlfn.XLOOKUP($A335,Input_Raw!$A:$A,Input_Raw!$CZ:$CZ),"")</f>
        <v/>
      </c>
      <c r="K335" s="190" t="str">
        <f>IFERROR(_xlfn.XLOOKUP($A335,Input_Raw!$A:$A,Input_Raw!$DB:$DB),"")</f>
        <v/>
      </c>
      <c r="L335" s="190" t="str">
        <f>IFERROR(_xlfn.XLOOKUP($A335,Input_Raw!$A:$A,Input_Raw!$DC:$DC),"")</f>
        <v/>
      </c>
      <c r="M335" s="189" t="str">
        <f>IFERROR(_xlfn.XLOOKUP($A335,Input_Raw!$A:$A,Input_Raw!$DF:$DF),"")</f>
        <v/>
      </c>
      <c r="N335" s="189" t="str">
        <f>IFERROR(_xlfn.XLOOKUP($A335,Input_Raw!$A:$A,Input_Raw!$DG:$DG),"")</f>
        <v/>
      </c>
      <c r="O335" s="219" t="str">
        <f>IFERROR(1-(SUMIF(Plant_BD!$B:$B,$A335,Plant_BD!$AL:$AL)/($AA335+SUMIF(Plant_BD!$B:$B,$A335,Plant_BD!$AL:$AL))),"")</f>
        <v/>
      </c>
      <c r="P335" s="219"/>
      <c r="Q335" s="220" t="str">
        <f>IFERROR(1-(SUMIF(Grid_BD!$B:$B,$A335,Grid_BD!$V:$V)/($AA335+SUMIF(Grid_BD!$B:$B,$A335,Grid_BD!$V:$V))),"")</f>
        <v/>
      </c>
      <c r="R335" s="219" t="str">
        <f>IFERROR(1-(SUMIF(Grid_BD!$B:$B,$A335,Grid_BD!$V:$V)/($AA335+SUMIF(Grid_BD!$B:$B,$A335,Grid_BD!$V:$V))),"")</f>
        <v/>
      </c>
      <c r="S335" s="9"/>
      <c r="T335" s="220"/>
      <c r="U335" s="221" t="str">
        <f t="shared" si="26"/>
        <v/>
      </c>
      <c r="V335" s="221" t="str">
        <f>IFERROR(_xlfn.XLOOKUP($A335,Input_Raw!$A:$A,Input_Raw!$FG:$FG),"")</f>
        <v/>
      </c>
      <c r="W335" s="222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78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22">
        <f>IFERROR(_xlfn.XLOOKUP($D335,'Modelling New'!$D:$D,'Modelling New'!O:O),"")</f>
        <v>0.8316109218354748</v>
      </c>
      <c r="AF335" s="222">
        <f>IFERROR(_xlfn.XLOOKUP($D335,'Modelling New'!$D:$D,'Modelling New'!W:W),"")</f>
        <v>0.21866912185763154</v>
      </c>
      <c r="AG335" s="222">
        <f>IFERROR(_xlfn.XLOOKUP($D335,'Modelling New'!$D:$D,'Modelling New'!AE:AE),"")</f>
        <v>0.995</v>
      </c>
      <c r="AH335" s="222">
        <f>IFERROR(_xlfn.XLOOKUP($D335,'Modelling New'!$D:$D,'Modelling New'!AF:AF),"")</f>
        <v>0.995</v>
      </c>
      <c r="AI335" s="9"/>
      <c r="AJ335" s="9"/>
      <c r="AK335" s="245"/>
      <c r="AL335" s="245"/>
      <c r="AM335" s="245"/>
      <c r="AN335" s="219"/>
      <c r="AO335" s="222"/>
      <c r="AP335" s="222"/>
      <c r="AQ335" s="222"/>
      <c r="AR335" s="223">
        <f>_xlfn.XLOOKUP(D335,'Modelling New'!$D:$D,'Modelling New'!$N:$N)</f>
        <v>130</v>
      </c>
      <c r="AS335" s="223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18">
        <f>Table13[[#This Row],[Date]]-DAY(Table13[[#This Row],[Date]])+1</f>
        <v>46054</v>
      </c>
      <c r="E336" s="9">
        <f t="shared" si="25"/>
        <v>28</v>
      </c>
      <c r="F336" s="188" t="str">
        <f>IFERROR(_xlfn.XLOOKUP($A336,Input_Raw!$A:$A,Input_Raw!$FC:$FC),"")</f>
        <v/>
      </c>
      <c r="G336" s="189" t="str">
        <f>IFERROR(_xlfn.XLOOKUP($A336,Input_Raw!$A:$A,Input_Raw!$CY:$CY),"")</f>
        <v/>
      </c>
      <c r="H336" s="189" t="str">
        <f>IFERROR(_xlfn.XLOOKUP($A336,Input_Raw!$A:$A,Input_Raw!$DA:$DA),"")</f>
        <v/>
      </c>
      <c r="I336" s="189" t="str">
        <f>IFERROR(_xlfn.XLOOKUP($A336,Input_Raw!$A:$A,Input_Raw!$CX:$CX),"")</f>
        <v/>
      </c>
      <c r="J336" s="189" t="str">
        <f>IFERROR(_xlfn.XLOOKUP($A336,Input_Raw!$A:$A,Input_Raw!$CZ:$CZ),"")</f>
        <v/>
      </c>
      <c r="K336" s="190" t="str">
        <f>IFERROR(_xlfn.XLOOKUP($A336,Input_Raw!$A:$A,Input_Raw!$DB:$DB),"")</f>
        <v/>
      </c>
      <c r="L336" s="190" t="str">
        <f>IFERROR(_xlfn.XLOOKUP($A336,Input_Raw!$A:$A,Input_Raw!$DC:$DC),"")</f>
        <v/>
      </c>
      <c r="M336" s="189" t="str">
        <f>IFERROR(_xlfn.XLOOKUP($A336,Input_Raw!$A:$A,Input_Raw!$DF:$DF),"")</f>
        <v/>
      </c>
      <c r="N336" s="189" t="str">
        <f>IFERROR(_xlfn.XLOOKUP($A336,Input_Raw!$A:$A,Input_Raw!$DG:$DG),"")</f>
        <v/>
      </c>
      <c r="O336" s="219" t="str">
        <f>IFERROR(1-(SUMIF(Plant_BD!$B:$B,$A336,Plant_BD!$AL:$AL)/($AA336+SUMIF(Plant_BD!$B:$B,$A336,Plant_BD!$AL:$AL))),"")</f>
        <v/>
      </c>
      <c r="P336" s="219"/>
      <c r="Q336" s="220" t="str">
        <f>IFERROR(1-(SUMIF(Grid_BD!$B:$B,$A336,Grid_BD!$V:$V)/($AA336+SUMIF(Grid_BD!$B:$B,$A336,Grid_BD!$V:$V))),"")</f>
        <v/>
      </c>
      <c r="R336" s="219" t="str">
        <f>IFERROR(1-(SUMIF(Grid_BD!$B:$B,$A336,Grid_BD!$V:$V)/($AA336+SUMIF(Grid_BD!$B:$B,$A336,Grid_BD!$V:$V))),"")</f>
        <v/>
      </c>
      <c r="S336" s="9"/>
      <c r="T336" s="220"/>
      <c r="U336" s="221" t="str">
        <f t="shared" si="26"/>
        <v/>
      </c>
      <c r="V336" s="221" t="str">
        <f>IFERROR(_xlfn.XLOOKUP($A336,Input_Raw!$A:$A,Input_Raw!$FG:$FG),"")</f>
        <v/>
      </c>
      <c r="W336" s="222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78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22">
        <f>IFERROR(_xlfn.XLOOKUP($D336,'Modelling New'!$D:$D,'Modelling New'!O:O),"")</f>
        <v>0.8316109218354748</v>
      </c>
      <c r="AF336" s="222">
        <f>IFERROR(_xlfn.XLOOKUP($D336,'Modelling New'!$D:$D,'Modelling New'!W:W),"")</f>
        <v>0.21866912185763154</v>
      </c>
      <c r="AG336" s="222">
        <f>IFERROR(_xlfn.XLOOKUP($D336,'Modelling New'!$D:$D,'Modelling New'!AE:AE),"")</f>
        <v>0.995</v>
      </c>
      <c r="AH336" s="222">
        <f>IFERROR(_xlfn.XLOOKUP($D336,'Modelling New'!$D:$D,'Modelling New'!AF:AF),"")</f>
        <v>0.995</v>
      </c>
      <c r="AI336" s="9"/>
      <c r="AJ336" s="9"/>
      <c r="AK336" s="245"/>
      <c r="AL336" s="245"/>
      <c r="AM336" s="245"/>
      <c r="AN336" s="219"/>
      <c r="AO336" s="222"/>
      <c r="AP336" s="222"/>
      <c r="AQ336" s="222"/>
      <c r="AR336" s="223">
        <f>_xlfn.XLOOKUP(D336,'Modelling New'!$D:$D,'Modelling New'!$N:$N)</f>
        <v>130</v>
      </c>
      <c r="AS336" s="223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18">
        <f>Table13[[#This Row],[Date]]-DAY(Table13[[#This Row],[Date]])+1</f>
        <v>46054</v>
      </c>
      <c r="E337" s="9">
        <f t="shared" si="25"/>
        <v>28</v>
      </c>
      <c r="F337" s="188" t="str">
        <f>IFERROR(_xlfn.XLOOKUP($A337,Input_Raw!$A:$A,Input_Raw!$FC:$FC),"")</f>
        <v/>
      </c>
      <c r="G337" s="178" t="str">
        <f>IFERROR(_xlfn.XLOOKUP($A337,Input_Raw!$A:$A,Input_Raw!$CY:$CY),"")</f>
        <v/>
      </c>
      <c r="H337" s="178" t="str">
        <f>IFERROR(_xlfn.XLOOKUP($A337,Input_Raw!$A:$A,Input_Raw!$DA:$DA),"")</f>
        <v/>
      </c>
      <c r="I337" s="178" t="str">
        <f>IFERROR(_xlfn.XLOOKUP($A337,Input_Raw!$A:$A,Input_Raw!$CX:$CX),"")</f>
        <v/>
      </c>
      <c r="J337" s="178" t="str">
        <f>IFERROR(_xlfn.XLOOKUP($A337,Input_Raw!$A:$A,Input_Raw!$CZ:$CZ),"")</f>
        <v/>
      </c>
      <c r="K337" s="190" t="str">
        <f>IFERROR(_xlfn.XLOOKUP($A337,Input_Raw!$A:$A,Input_Raw!$DB:$DB),"")</f>
        <v/>
      </c>
      <c r="L337" s="190" t="str">
        <f>IFERROR(_xlfn.XLOOKUP($A337,Input_Raw!$A:$A,Input_Raw!$DC:$DC),"")</f>
        <v/>
      </c>
      <c r="M337" s="189" t="str">
        <f>IFERROR(_xlfn.XLOOKUP($A337,Input_Raw!$A:$A,Input_Raw!$DF:$DF),"")</f>
        <v/>
      </c>
      <c r="N337" s="189" t="str">
        <f>IFERROR(_xlfn.XLOOKUP($A337,Input_Raw!$A:$A,Input_Raw!$DG:$DG),"")</f>
        <v/>
      </c>
      <c r="O337" s="219" t="str">
        <f>IFERROR(1-(SUMIF(Plant_BD!$B:$B,$A337,Plant_BD!$AL:$AL)/($AA337+SUMIF(Plant_BD!$B:$B,$A337,Plant_BD!$AL:$AL))),"")</f>
        <v/>
      </c>
      <c r="P337" s="219"/>
      <c r="Q337" s="220" t="str">
        <f>IFERROR(1-(SUMIF(Grid_BD!$B:$B,$A337,Grid_BD!$V:$V)/($AA337+SUMIF(Grid_BD!$B:$B,$A337,Grid_BD!$V:$V))),"")</f>
        <v/>
      </c>
      <c r="R337" s="219" t="str">
        <f>IFERROR(1-(SUMIF(Grid_BD!$B:$B,$A337,Grid_BD!$V:$V)/($AA337+SUMIF(Grid_BD!$B:$B,$A337,Grid_BD!$V:$V))),"")</f>
        <v/>
      </c>
      <c r="S337" s="9"/>
      <c r="T337" s="220"/>
      <c r="U337" s="221" t="str">
        <f t="shared" si="26"/>
        <v/>
      </c>
      <c r="V337" s="221" t="str">
        <f>IFERROR(_xlfn.XLOOKUP($A337,Input_Raw!$A:$A,Input_Raw!$FG:$FG),"")</f>
        <v/>
      </c>
      <c r="W337" s="222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78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22">
        <f>IFERROR(_xlfn.XLOOKUP($D337,'Modelling New'!$D:$D,'Modelling New'!O:O),"")</f>
        <v>0.8316109218354748</v>
      </c>
      <c r="AF337" s="222">
        <f>IFERROR(_xlfn.XLOOKUP($D337,'Modelling New'!$D:$D,'Modelling New'!W:W),"")</f>
        <v>0.21866912185763154</v>
      </c>
      <c r="AG337" s="222">
        <f>IFERROR(_xlfn.XLOOKUP($D337,'Modelling New'!$D:$D,'Modelling New'!AE:AE),"")</f>
        <v>0.995</v>
      </c>
      <c r="AH337" s="222">
        <f>IFERROR(_xlfn.XLOOKUP($D337,'Modelling New'!$D:$D,'Modelling New'!AF:AF),"")</f>
        <v>0.995</v>
      </c>
      <c r="AI337" s="9"/>
      <c r="AJ337" s="9"/>
      <c r="AK337" s="245"/>
      <c r="AL337" s="245"/>
      <c r="AM337" s="245"/>
      <c r="AN337" s="219"/>
      <c r="AO337" s="222"/>
      <c r="AP337" s="222"/>
      <c r="AQ337" s="222"/>
      <c r="AR337" s="223">
        <f>_xlfn.XLOOKUP(D337,'Modelling New'!$D:$D,'Modelling New'!$N:$N)</f>
        <v>130</v>
      </c>
      <c r="AS337" s="223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18">
        <f>Table13[[#This Row],[Date]]-DAY(Table13[[#This Row],[Date]])+1</f>
        <v>46054</v>
      </c>
      <c r="E338" s="9">
        <f t="shared" si="25"/>
        <v>28</v>
      </c>
      <c r="F338" s="188" t="str">
        <f>IFERROR(_xlfn.XLOOKUP($A338,Input_Raw!$A:$A,Input_Raw!$FC:$FC),"")</f>
        <v/>
      </c>
      <c r="G338" s="189" t="str">
        <f>IFERROR(_xlfn.XLOOKUP($A338,Input_Raw!$A:$A,Input_Raw!$CY:$CY),"")</f>
        <v/>
      </c>
      <c r="H338" s="189" t="str">
        <f>IFERROR(_xlfn.XLOOKUP($A338,Input_Raw!$A:$A,Input_Raw!$DA:$DA),"")</f>
        <v/>
      </c>
      <c r="I338" s="189" t="str">
        <f>IFERROR(_xlfn.XLOOKUP($A338,Input_Raw!$A:$A,Input_Raw!$CX:$CX),"")</f>
        <v/>
      </c>
      <c r="J338" s="189" t="str">
        <f>IFERROR(_xlfn.XLOOKUP($A338,Input_Raw!$A:$A,Input_Raw!$CZ:$CZ),"")</f>
        <v/>
      </c>
      <c r="K338" s="190" t="str">
        <f>IFERROR(_xlfn.XLOOKUP($A338,Input_Raw!$A:$A,Input_Raw!$DB:$DB),"")</f>
        <v/>
      </c>
      <c r="L338" s="190" t="str">
        <f>IFERROR(_xlfn.XLOOKUP($A338,Input_Raw!$A:$A,Input_Raw!$DC:$DC),"")</f>
        <v/>
      </c>
      <c r="M338" s="189" t="str">
        <f>IFERROR(_xlfn.XLOOKUP($A338,Input_Raw!$A:$A,Input_Raw!$DF:$DF),"")</f>
        <v/>
      </c>
      <c r="N338" s="189" t="str">
        <f>IFERROR(_xlfn.XLOOKUP($A338,Input_Raw!$A:$A,Input_Raw!$DG:$DG),"")</f>
        <v/>
      </c>
      <c r="O338" s="219" t="str">
        <f>IFERROR(1-(SUMIF(Plant_BD!$B:$B,$A338,Plant_BD!$AL:$AL)/($AA338+SUMIF(Plant_BD!$B:$B,$A338,Plant_BD!$AL:$AL))),"")</f>
        <v/>
      </c>
      <c r="P338" s="219"/>
      <c r="Q338" s="220" t="str">
        <f>IFERROR(1-(SUMIF(Grid_BD!$B:$B,$A338,Grid_BD!$V:$V)/($AA338+SUMIF(Grid_BD!$B:$B,$A338,Grid_BD!$V:$V))),"")</f>
        <v/>
      </c>
      <c r="R338" s="219" t="str">
        <f>IFERROR(1-(SUMIF(Grid_BD!$B:$B,$A338,Grid_BD!$V:$V)/($AA338+SUMIF(Grid_BD!$B:$B,$A338,Grid_BD!$V:$V))),"")</f>
        <v/>
      </c>
      <c r="S338" s="9"/>
      <c r="T338" s="220"/>
      <c r="U338" s="221" t="str">
        <f t="shared" si="26"/>
        <v/>
      </c>
      <c r="V338" s="221" t="str">
        <f>IFERROR(_xlfn.XLOOKUP($A338,Input_Raw!$A:$A,Input_Raw!$FG:$FG),"")</f>
        <v/>
      </c>
      <c r="W338" s="222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78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22">
        <f>IFERROR(_xlfn.XLOOKUP($D338,'Modelling New'!$D:$D,'Modelling New'!O:O),"")</f>
        <v>0.8316109218354748</v>
      </c>
      <c r="AF338" s="222">
        <f>IFERROR(_xlfn.XLOOKUP($D338,'Modelling New'!$D:$D,'Modelling New'!W:W),"")</f>
        <v>0.21866912185763154</v>
      </c>
      <c r="AG338" s="222">
        <f>IFERROR(_xlfn.XLOOKUP($D338,'Modelling New'!$D:$D,'Modelling New'!AE:AE),"")</f>
        <v>0.995</v>
      </c>
      <c r="AH338" s="222">
        <f>IFERROR(_xlfn.XLOOKUP($D338,'Modelling New'!$D:$D,'Modelling New'!AF:AF),"")</f>
        <v>0.995</v>
      </c>
      <c r="AI338" s="9"/>
      <c r="AJ338" s="9"/>
      <c r="AK338" s="245"/>
      <c r="AL338" s="245"/>
      <c r="AM338" s="245"/>
      <c r="AN338" s="219"/>
      <c r="AO338" s="222"/>
      <c r="AP338" s="222"/>
      <c r="AQ338" s="222"/>
      <c r="AR338" s="223">
        <f>_xlfn.XLOOKUP(D338,'Modelling New'!$D:$D,'Modelling New'!$N:$N)</f>
        <v>130</v>
      </c>
      <c r="AS338" s="223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18">
        <f>Table13[[#This Row],[Date]]-DAY(Table13[[#This Row],[Date]])+1</f>
        <v>46082</v>
      </c>
      <c r="E339" s="9">
        <f t="shared" si="25"/>
        <v>31</v>
      </c>
      <c r="F339" s="188" t="str">
        <f>IFERROR(_xlfn.XLOOKUP($A339,Input_Raw!$A:$A,Input_Raw!$FC:$FC),"")</f>
        <v/>
      </c>
      <c r="G339" s="178" t="str">
        <f>IFERROR(_xlfn.XLOOKUP($A339,Input_Raw!$A:$A,Input_Raw!$CY:$CY),"")</f>
        <v/>
      </c>
      <c r="H339" s="178" t="str">
        <f>IFERROR(_xlfn.XLOOKUP($A339,Input_Raw!$A:$A,Input_Raw!$DA:$DA),"")</f>
        <v/>
      </c>
      <c r="I339" s="178" t="str">
        <f>IFERROR(_xlfn.XLOOKUP($A339,Input_Raw!$A:$A,Input_Raw!$CX:$CX),"")</f>
        <v/>
      </c>
      <c r="J339" s="178" t="str">
        <f>IFERROR(_xlfn.XLOOKUP($A339,Input_Raw!$A:$A,Input_Raw!$CZ:$CZ),"")</f>
        <v/>
      </c>
      <c r="K339" s="190" t="str">
        <f>IFERROR(_xlfn.XLOOKUP($A339,Input_Raw!$A:$A,Input_Raw!$DB:$DB),"")</f>
        <v/>
      </c>
      <c r="L339" s="190" t="str">
        <f>IFERROR(_xlfn.XLOOKUP($A339,Input_Raw!$A:$A,Input_Raw!$DC:$DC),"")</f>
        <v/>
      </c>
      <c r="M339" s="189" t="str">
        <f>IFERROR(_xlfn.XLOOKUP($A339,Input_Raw!$A:$A,Input_Raw!$DF:$DF),"")</f>
        <v/>
      </c>
      <c r="N339" s="189" t="str">
        <f>IFERROR(_xlfn.XLOOKUP($A339,Input_Raw!$A:$A,Input_Raw!$DG:$DG),"")</f>
        <v/>
      </c>
      <c r="O339" s="219" t="str">
        <f>IFERROR(1-(SUMIF(Plant_BD!$B:$B,$A339,Plant_BD!$AL:$AL)/($AA339+SUMIF(Plant_BD!$B:$B,$A339,Plant_BD!$AL:$AL))),"")</f>
        <v/>
      </c>
      <c r="P339" s="219"/>
      <c r="Q339" s="220" t="str">
        <f>IFERROR(1-(SUMIF(Grid_BD!$B:$B,$A339,Grid_BD!$V:$V)/($AA339+SUMIF(Grid_BD!$B:$B,$A339,Grid_BD!$V:$V))),"")</f>
        <v/>
      </c>
      <c r="R339" s="219" t="str">
        <f>IFERROR(1-(SUMIF(Grid_BD!$B:$B,$A339,Grid_BD!$V:$V)/($AA339+SUMIF(Grid_BD!$B:$B,$A339,Grid_BD!$V:$V))),"")</f>
        <v/>
      </c>
      <c r="S339" s="9"/>
      <c r="T339" s="220"/>
      <c r="U339" s="221" t="str">
        <f t="shared" si="26"/>
        <v/>
      </c>
      <c r="V339" s="221" t="str">
        <f>IFERROR(_xlfn.XLOOKUP($A339,Input_Raw!$A:$A,Input_Raw!$FG:$FG),"")</f>
        <v/>
      </c>
      <c r="W339" s="222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78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22">
        <f>IFERROR(_xlfn.XLOOKUP($D339,'Modelling New'!$D:$D,'Modelling New'!O:O),"")</f>
        <v>0.80591076761496216</v>
      </c>
      <c r="AF339" s="222">
        <f>IFERROR(_xlfn.XLOOKUP($D339,'Modelling New'!$D:$D,'Modelling New'!W:W),"")</f>
        <v>0.23245759506743396</v>
      </c>
      <c r="AG339" s="222">
        <f>IFERROR(_xlfn.XLOOKUP($D339,'Modelling New'!$D:$D,'Modelling New'!AE:AE),"")</f>
        <v>0.995</v>
      </c>
      <c r="AH339" s="222">
        <f>IFERROR(_xlfn.XLOOKUP($D339,'Modelling New'!$D:$D,'Modelling New'!AF:AF),"")</f>
        <v>0.995</v>
      </c>
      <c r="AI339" s="9"/>
      <c r="AJ339" s="9"/>
      <c r="AK339" s="245"/>
      <c r="AL339" s="245"/>
      <c r="AM339" s="245"/>
      <c r="AN339" s="219"/>
      <c r="AO339" s="222"/>
      <c r="AP339" s="222"/>
      <c r="AQ339" s="222"/>
      <c r="AR339" s="223">
        <f>_xlfn.XLOOKUP(D339,'Modelling New'!$D:$D,'Modelling New'!$N:$N)</f>
        <v>130</v>
      </c>
      <c r="AS339" s="223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18">
        <f>Table13[[#This Row],[Date]]-DAY(Table13[[#This Row],[Date]])+1</f>
        <v>46082</v>
      </c>
      <c r="E340" s="9">
        <f t="shared" si="25"/>
        <v>31</v>
      </c>
      <c r="F340" s="188" t="str">
        <f>IFERROR(_xlfn.XLOOKUP($A340,Input_Raw!$A:$A,Input_Raw!$FC:$FC),"")</f>
        <v/>
      </c>
      <c r="G340" s="189" t="str">
        <f>IFERROR(_xlfn.XLOOKUP($A340,Input_Raw!$A:$A,Input_Raw!$CY:$CY),"")</f>
        <v/>
      </c>
      <c r="H340" s="189" t="str">
        <f>IFERROR(_xlfn.XLOOKUP($A340,Input_Raw!$A:$A,Input_Raw!$DA:$DA),"")</f>
        <v/>
      </c>
      <c r="I340" s="189" t="str">
        <f>IFERROR(_xlfn.XLOOKUP($A340,Input_Raw!$A:$A,Input_Raw!$CX:$CX),"")</f>
        <v/>
      </c>
      <c r="J340" s="189" t="str">
        <f>IFERROR(_xlfn.XLOOKUP($A340,Input_Raw!$A:$A,Input_Raw!$CZ:$CZ),"")</f>
        <v/>
      </c>
      <c r="K340" s="190" t="str">
        <f>IFERROR(_xlfn.XLOOKUP($A340,Input_Raw!$A:$A,Input_Raw!$DB:$DB),"")</f>
        <v/>
      </c>
      <c r="L340" s="190" t="str">
        <f>IFERROR(_xlfn.XLOOKUP($A340,Input_Raw!$A:$A,Input_Raw!$DC:$DC),"")</f>
        <v/>
      </c>
      <c r="M340" s="189" t="str">
        <f>IFERROR(_xlfn.XLOOKUP($A340,Input_Raw!$A:$A,Input_Raw!$DF:$DF),"")</f>
        <v/>
      </c>
      <c r="N340" s="189" t="str">
        <f>IFERROR(_xlfn.XLOOKUP($A340,Input_Raw!$A:$A,Input_Raw!$DG:$DG),"")</f>
        <v/>
      </c>
      <c r="O340" s="219" t="str">
        <f>IFERROR(1-(SUMIF(Plant_BD!$B:$B,$A340,Plant_BD!$AL:$AL)/($AA340+SUMIF(Plant_BD!$B:$B,$A340,Plant_BD!$AL:$AL))),"")</f>
        <v/>
      </c>
      <c r="P340" s="219"/>
      <c r="Q340" s="220" t="str">
        <f>IFERROR(1-(SUMIF(Grid_BD!$B:$B,$A340,Grid_BD!$V:$V)/($AA340+SUMIF(Grid_BD!$B:$B,$A340,Grid_BD!$V:$V))),"")</f>
        <v/>
      </c>
      <c r="R340" s="219" t="str">
        <f>IFERROR(1-(SUMIF(Grid_BD!$B:$B,$A340,Grid_BD!$V:$V)/($AA340+SUMIF(Grid_BD!$B:$B,$A340,Grid_BD!$V:$V))),"")</f>
        <v/>
      </c>
      <c r="S340" s="9"/>
      <c r="T340" s="220"/>
      <c r="U340" s="221" t="str">
        <f t="shared" si="26"/>
        <v/>
      </c>
      <c r="V340" s="221" t="str">
        <f>IFERROR(_xlfn.XLOOKUP($A340,Input_Raw!$A:$A,Input_Raw!$FG:$FG),"")</f>
        <v/>
      </c>
      <c r="W340" s="222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78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22">
        <f>IFERROR(_xlfn.XLOOKUP($D340,'Modelling New'!$D:$D,'Modelling New'!O:O),"")</f>
        <v>0.80591076761496216</v>
      </c>
      <c r="AF340" s="222">
        <f>IFERROR(_xlfn.XLOOKUP($D340,'Modelling New'!$D:$D,'Modelling New'!W:W),"")</f>
        <v>0.23245759506743396</v>
      </c>
      <c r="AG340" s="222">
        <f>IFERROR(_xlfn.XLOOKUP($D340,'Modelling New'!$D:$D,'Modelling New'!AE:AE),"")</f>
        <v>0.995</v>
      </c>
      <c r="AH340" s="222">
        <f>IFERROR(_xlfn.XLOOKUP($D340,'Modelling New'!$D:$D,'Modelling New'!AF:AF),"")</f>
        <v>0.995</v>
      </c>
      <c r="AI340" s="9"/>
      <c r="AJ340" s="9"/>
      <c r="AK340" s="245"/>
      <c r="AL340" s="245"/>
      <c r="AM340" s="245"/>
      <c r="AN340" s="219"/>
      <c r="AO340" s="222"/>
      <c r="AP340" s="222"/>
      <c r="AQ340" s="222"/>
      <c r="AR340" s="223">
        <f>_xlfn.XLOOKUP(D340,'Modelling New'!$D:$D,'Modelling New'!$N:$N)</f>
        <v>130</v>
      </c>
      <c r="AS340" s="223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18">
        <f>Table13[[#This Row],[Date]]-DAY(Table13[[#This Row],[Date]])+1</f>
        <v>46082</v>
      </c>
      <c r="E341" s="9">
        <f t="shared" si="25"/>
        <v>31</v>
      </c>
      <c r="F341" s="188" t="str">
        <f>IFERROR(_xlfn.XLOOKUP($A341,Input_Raw!$A:$A,Input_Raw!$FC:$FC),"")</f>
        <v/>
      </c>
      <c r="G341" s="178" t="str">
        <f>IFERROR(_xlfn.XLOOKUP($A341,Input_Raw!$A:$A,Input_Raw!$CY:$CY),"")</f>
        <v/>
      </c>
      <c r="H341" s="178" t="str">
        <f>IFERROR(_xlfn.XLOOKUP($A341,Input_Raw!$A:$A,Input_Raw!$DA:$DA),"")</f>
        <v/>
      </c>
      <c r="I341" s="178" t="str">
        <f>IFERROR(_xlfn.XLOOKUP($A341,Input_Raw!$A:$A,Input_Raw!$CX:$CX),"")</f>
        <v/>
      </c>
      <c r="J341" s="178" t="str">
        <f>IFERROR(_xlfn.XLOOKUP($A341,Input_Raw!$A:$A,Input_Raw!$CZ:$CZ),"")</f>
        <v/>
      </c>
      <c r="K341" s="190" t="str">
        <f>IFERROR(_xlfn.XLOOKUP($A341,Input_Raw!$A:$A,Input_Raw!$DB:$DB),"")</f>
        <v/>
      </c>
      <c r="L341" s="190" t="str">
        <f>IFERROR(_xlfn.XLOOKUP($A341,Input_Raw!$A:$A,Input_Raw!$DC:$DC),"")</f>
        <v/>
      </c>
      <c r="M341" s="189" t="str">
        <f>IFERROR(_xlfn.XLOOKUP($A341,Input_Raw!$A:$A,Input_Raw!$DF:$DF),"")</f>
        <v/>
      </c>
      <c r="N341" s="189" t="str">
        <f>IFERROR(_xlfn.XLOOKUP($A341,Input_Raw!$A:$A,Input_Raw!$DG:$DG),"")</f>
        <v/>
      </c>
      <c r="O341" s="219" t="str">
        <f>IFERROR(1-(SUMIF(Plant_BD!$B:$B,$A341,Plant_BD!$AL:$AL)/($AA341+SUMIF(Plant_BD!$B:$B,$A341,Plant_BD!$AL:$AL))),"")</f>
        <v/>
      </c>
      <c r="P341" s="219"/>
      <c r="Q341" s="220" t="str">
        <f>IFERROR(1-(SUMIF(Grid_BD!$B:$B,$A341,Grid_BD!$V:$V)/($AA341+SUMIF(Grid_BD!$B:$B,$A341,Grid_BD!$V:$V))),"")</f>
        <v/>
      </c>
      <c r="R341" s="219" t="str">
        <f>IFERROR(1-(SUMIF(Grid_BD!$B:$B,$A341,Grid_BD!$V:$V)/($AA341+SUMIF(Grid_BD!$B:$B,$A341,Grid_BD!$V:$V))),"")</f>
        <v/>
      </c>
      <c r="S341" s="9"/>
      <c r="T341" s="220"/>
      <c r="U341" s="221" t="str">
        <f t="shared" si="26"/>
        <v/>
      </c>
      <c r="V341" s="221" t="str">
        <f>IFERROR(_xlfn.XLOOKUP($A341,Input_Raw!$A:$A,Input_Raw!$FG:$FG),"")</f>
        <v/>
      </c>
      <c r="W341" s="222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78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22">
        <f>IFERROR(_xlfn.XLOOKUP($D341,'Modelling New'!$D:$D,'Modelling New'!O:O),"")</f>
        <v>0.80591076761496216</v>
      </c>
      <c r="AF341" s="222">
        <f>IFERROR(_xlfn.XLOOKUP($D341,'Modelling New'!$D:$D,'Modelling New'!W:W),"")</f>
        <v>0.23245759506743396</v>
      </c>
      <c r="AG341" s="222">
        <f>IFERROR(_xlfn.XLOOKUP($D341,'Modelling New'!$D:$D,'Modelling New'!AE:AE),"")</f>
        <v>0.995</v>
      </c>
      <c r="AH341" s="222">
        <f>IFERROR(_xlfn.XLOOKUP($D341,'Modelling New'!$D:$D,'Modelling New'!AF:AF),"")</f>
        <v>0.995</v>
      </c>
      <c r="AI341" s="9"/>
      <c r="AJ341" s="9"/>
      <c r="AK341" s="245"/>
      <c r="AL341" s="245"/>
      <c r="AM341" s="245"/>
      <c r="AN341" s="219"/>
      <c r="AO341" s="222"/>
      <c r="AP341" s="222"/>
      <c r="AQ341" s="222"/>
      <c r="AR341" s="223">
        <f>_xlfn.XLOOKUP(D341,'Modelling New'!$D:$D,'Modelling New'!$N:$N)</f>
        <v>130</v>
      </c>
      <c r="AS341" s="223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18">
        <f>Table13[[#This Row],[Date]]-DAY(Table13[[#This Row],[Date]])+1</f>
        <v>46082</v>
      </c>
      <c r="E342" s="9">
        <f t="shared" si="25"/>
        <v>31</v>
      </c>
      <c r="F342" s="188" t="str">
        <f>IFERROR(_xlfn.XLOOKUP($A342,Input_Raw!$A:$A,Input_Raw!$FC:$FC),"")</f>
        <v/>
      </c>
      <c r="G342" s="189" t="str">
        <f>IFERROR(_xlfn.XLOOKUP($A342,Input_Raw!$A:$A,Input_Raw!$CY:$CY),"")</f>
        <v/>
      </c>
      <c r="H342" s="189" t="str">
        <f>IFERROR(_xlfn.XLOOKUP($A342,Input_Raw!$A:$A,Input_Raw!$DA:$DA),"")</f>
        <v/>
      </c>
      <c r="I342" s="189" t="str">
        <f>IFERROR(_xlfn.XLOOKUP($A342,Input_Raw!$A:$A,Input_Raw!$CX:$CX),"")</f>
        <v/>
      </c>
      <c r="J342" s="189" t="str">
        <f>IFERROR(_xlfn.XLOOKUP($A342,Input_Raw!$A:$A,Input_Raw!$CZ:$CZ),"")</f>
        <v/>
      </c>
      <c r="K342" s="190" t="str">
        <f>IFERROR(_xlfn.XLOOKUP($A342,Input_Raw!$A:$A,Input_Raw!$DB:$DB),"")</f>
        <v/>
      </c>
      <c r="L342" s="190" t="str">
        <f>IFERROR(_xlfn.XLOOKUP($A342,Input_Raw!$A:$A,Input_Raw!$DC:$DC),"")</f>
        <v/>
      </c>
      <c r="M342" s="189" t="str">
        <f>IFERROR(_xlfn.XLOOKUP($A342,Input_Raw!$A:$A,Input_Raw!$DF:$DF),"")</f>
        <v/>
      </c>
      <c r="N342" s="189" t="str">
        <f>IFERROR(_xlfn.XLOOKUP($A342,Input_Raw!$A:$A,Input_Raw!$DG:$DG),"")</f>
        <v/>
      </c>
      <c r="O342" s="219" t="str">
        <f>IFERROR(1-(SUMIF(Plant_BD!$B:$B,$A342,Plant_BD!$AL:$AL)/($AA342+SUMIF(Plant_BD!$B:$B,$A342,Plant_BD!$AL:$AL))),"")</f>
        <v/>
      </c>
      <c r="P342" s="219"/>
      <c r="Q342" s="220" t="str">
        <f>IFERROR(1-(SUMIF(Grid_BD!$B:$B,$A342,Grid_BD!$V:$V)/($AA342+SUMIF(Grid_BD!$B:$B,$A342,Grid_BD!$V:$V))),"")</f>
        <v/>
      </c>
      <c r="R342" s="219" t="str">
        <f>IFERROR(1-(SUMIF(Grid_BD!$B:$B,$A342,Grid_BD!$V:$V)/($AA342+SUMIF(Grid_BD!$B:$B,$A342,Grid_BD!$V:$V))),"")</f>
        <v/>
      </c>
      <c r="S342" s="9"/>
      <c r="T342" s="220"/>
      <c r="U342" s="221" t="str">
        <f t="shared" si="26"/>
        <v/>
      </c>
      <c r="V342" s="221" t="str">
        <f>IFERROR(_xlfn.XLOOKUP($A342,Input_Raw!$A:$A,Input_Raw!$FG:$FG),"")</f>
        <v/>
      </c>
      <c r="W342" s="222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78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22">
        <f>IFERROR(_xlfn.XLOOKUP($D342,'Modelling New'!$D:$D,'Modelling New'!O:O),"")</f>
        <v>0.80591076761496216</v>
      </c>
      <c r="AF342" s="222">
        <f>IFERROR(_xlfn.XLOOKUP($D342,'Modelling New'!$D:$D,'Modelling New'!W:W),"")</f>
        <v>0.23245759506743396</v>
      </c>
      <c r="AG342" s="222">
        <f>IFERROR(_xlfn.XLOOKUP($D342,'Modelling New'!$D:$D,'Modelling New'!AE:AE),"")</f>
        <v>0.995</v>
      </c>
      <c r="AH342" s="222">
        <f>IFERROR(_xlfn.XLOOKUP($D342,'Modelling New'!$D:$D,'Modelling New'!AF:AF),"")</f>
        <v>0.995</v>
      </c>
      <c r="AI342" s="9"/>
      <c r="AJ342" s="9"/>
      <c r="AK342" s="245"/>
      <c r="AL342" s="245"/>
      <c r="AM342" s="245"/>
      <c r="AN342" s="219"/>
      <c r="AO342" s="222"/>
      <c r="AP342" s="222"/>
      <c r="AQ342" s="222"/>
      <c r="AR342" s="223">
        <f>_xlfn.XLOOKUP(D342,'Modelling New'!$D:$D,'Modelling New'!$N:$N)</f>
        <v>130</v>
      </c>
      <c r="AS342" s="223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18">
        <f>Table13[[#This Row],[Date]]-DAY(Table13[[#This Row],[Date]])+1</f>
        <v>46082</v>
      </c>
      <c r="E343" s="9">
        <f t="shared" si="25"/>
        <v>31</v>
      </c>
      <c r="F343" s="188" t="str">
        <f>IFERROR(_xlfn.XLOOKUP($A343,Input_Raw!$A:$A,Input_Raw!$FC:$FC),"")</f>
        <v/>
      </c>
      <c r="G343" s="178" t="str">
        <f>IFERROR(_xlfn.XLOOKUP($A343,Input_Raw!$A:$A,Input_Raw!$CY:$CY),"")</f>
        <v/>
      </c>
      <c r="H343" s="178" t="str">
        <f>IFERROR(_xlfn.XLOOKUP($A343,Input_Raw!$A:$A,Input_Raw!$DA:$DA),"")</f>
        <v/>
      </c>
      <c r="I343" s="178" t="str">
        <f>IFERROR(_xlfn.XLOOKUP($A343,Input_Raw!$A:$A,Input_Raw!$CX:$CX),"")</f>
        <v/>
      </c>
      <c r="J343" s="178" t="str">
        <f>IFERROR(_xlfn.XLOOKUP($A343,Input_Raw!$A:$A,Input_Raw!$CZ:$CZ),"")</f>
        <v/>
      </c>
      <c r="K343" s="190" t="str">
        <f>IFERROR(_xlfn.XLOOKUP($A343,Input_Raw!$A:$A,Input_Raw!$DB:$DB),"")</f>
        <v/>
      </c>
      <c r="L343" s="190" t="str">
        <f>IFERROR(_xlfn.XLOOKUP($A343,Input_Raw!$A:$A,Input_Raw!$DC:$DC),"")</f>
        <v/>
      </c>
      <c r="M343" s="189" t="str">
        <f>IFERROR(_xlfn.XLOOKUP($A343,Input_Raw!$A:$A,Input_Raw!$DF:$DF),"")</f>
        <v/>
      </c>
      <c r="N343" s="189" t="str">
        <f>IFERROR(_xlfn.XLOOKUP($A343,Input_Raw!$A:$A,Input_Raw!$DG:$DG),"")</f>
        <v/>
      </c>
      <c r="O343" s="219" t="str">
        <f>IFERROR(1-(SUMIF(Plant_BD!$B:$B,$A343,Plant_BD!$AL:$AL)/($AA343+SUMIF(Plant_BD!$B:$B,$A343,Plant_BD!$AL:$AL))),"")</f>
        <v/>
      </c>
      <c r="P343" s="219"/>
      <c r="Q343" s="220" t="str">
        <f>IFERROR(1-(SUMIF(Grid_BD!$B:$B,$A343,Grid_BD!$V:$V)/($AA343+SUMIF(Grid_BD!$B:$B,$A343,Grid_BD!$V:$V))),"")</f>
        <v/>
      </c>
      <c r="R343" s="219" t="str">
        <f>IFERROR(1-(SUMIF(Grid_BD!$B:$B,$A343,Grid_BD!$V:$V)/($AA343+SUMIF(Grid_BD!$B:$B,$A343,Grid_BD!$V:$V))),"")</f>
        <v/>
      </c>
      <c r="S343" s="9"/>
      <c r="T343" s="220"/>
      <c r="U343" s="221" t="str">
        <f t="shared" si="26"/>
        <v/>
      </c>
      <c r="V343" s="221" t="str">
        <f>IFERROR(_xlfn.XLOOKUP($A343,Input_Raw!$A:$A,Input_Raw!$FG:$FG),"")</f>
        <v/>
      </c>
      <c r="W343" s="222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78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22">
        <f>IFERROR(_xlfn.XLOOKUP($D343,'Modelling New'!$D:$D,'Modelling New'!O:O),"")</f>
        <v>0.80591076761496216</v>
      </c>
      <c r="AF343" s="222">
        <f>IFERROR(_xlfn.XLOOKUP($D343,'Modelling New'!$D:$D,'Modelling New'!W:W),"")</f>
        <v>0.23245759506743396</v>
      </c>
      <c r="AG343" s="222">
        <f>IFERROR(_xlfn.XLOOKUP($D343,'Modelling New'!$D:$D,'Modelling New'!AE:AE),"")</f>
        <v>0.995</v>
      </c>
      <c r="AH343" s="222">
        <f>IFERROR(_xlfn.XLOOKUP($D343,'Modelling New'!$D:$D,'Modelling New'!AF:AF),"")</f>
        <v>0.995</v>
      </c>
      <c r="AI343" s="9"/>
      <c r="AJ343" s="9"/>
      <c r="AK343" s="245"/>
      <c r="AL343" s="245"/>
      <c r="AM343" s="245"/>
      <c r="AN343" s="219"/>
      <c r="AO343" s="222"/>
      <c r="AP343" s="222"/>
      <c r="AQ343" s="222"/>
      <c r="AR343" s="223">
        <f>_xlfn.XLOOKUP(D343,'Modelling New'!$D:$D,'Modelling New'!$N:$N)</f>
        <v>130</v>
      </c>
      <c r="AS343" s="223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18">
        <f>Table13[[#This Row],[Date]]-DAY(Table13[[#This Row],[Date]])+1</f>
        <v>46082</v>
      </c>
      <c r="E344" s="9">
        <f t="shared" si="25"/>
        <v>31</v>
      </c>
      <c r="F344" s="188" t="str">
        <f>IFERROR(_xlfn.XLOOKUP($A344,Input_Raw!$A:$A,Input_Raw!$FC:$FC),"")</f>
        <v/>
      </c>
      <c r="G344" s="189" t="str">
        <f>IFERROR(_xlfn.XLOOKUP($A344,Input_Raw!$A:$A,Input_Raw!$CY:$CY),"")</f>
        <v/>
      </c>
      <c r="H344" s="189" t="str">
        <f>IFERROR(_xlfn.XLOOKUP($A344,Input_Raw!$A:$A,Input_Raw!$DA:$DA),"")</f>
        <v/>
      </c>
      <c r="I344" s="189" t="str">
        <f>IFERROR(_xlfn.XLOOKUP($A344,Input_Raw!$A:$A,Input_Raw!$CX:$CX),"")</f>
        <v/>
      </c>
      <c r="J344" s="189" t="str">
        <f>IFERROR(_xlfn.XLOOKUP($A344,Input_Raw!$A:$A,Input_Raw!$CZ:$CZ),"")</f>
        <v/>
      </c>
      <c r="K344" s="190" t="str">
        <f>IFERROR(_xlfn.XLOOKUP($A344,Input_Raw!$A:$A,Input_Raw!$DB:$DB),"")</f>
        <v/>
      </c>
      <c r="L344" s="190" t="str">
        <f>IFERROR(_xlfn.XLOOKUP($A344,Input_Raw!$A:$A,Input_Raw!$DC:$DC),"")</f>
        <v/>
      </c>
      <c r="M344" s="189" t="str">
        <f>IFERROR(_xlfn.XLOOKUP($A344,Input_Raw!$A:$A,Input_Raw!$DF:$DF),"")</f>
        <v/>
      </c>
      <c r="N344" s="189" t="str">
        <f>IFERROR(_xlfn.XLOOKUP($A344,Input_Raw!$A:$A,Input_Raw!$DG:$DG),"")</f>
        <v/>
      </c>
      <c r="O344" s="219" t="str">
        <f>IFERROR(1-(SUMIF(Plant_BD!$B:$B,$A344,Plant_BD!$AL:$AL)/($AA344+SUMIF(Plant_BD!$B:$B,$A344,Plant_BD!$AL:$AL))),"")</f>
        <v/>
      </c>
      <c r="P344" s="219"/>
      <c r="Q344" s="220" t="str">
        <f>IFERROR(1-(SUMIF(Grid_BD!$B:$B,$A344,Grid_BD!$V:$V)/($AA344+SUMIF(Grid_BD!$B:$B,$A344,Grid_BD!$V:$V))),"")</f>
        <v/>
      </c>
      <c r="R344" s="219" t="str">
        <f>IFERROR(1-(SUMIF(Grid_BD!$B:$B,$A344,Grid_BD!$V:$V)/($AA344+SUMIF(Grid_BD!$B:$B,$A344,Grid_BD!$V:$V))),"")</f>
        <v/>
      </c>
      <c r="S344" s="9"/>
      <c r="T344" s="220"/>
      <c r="U344" s="221" t="str">
        <f t="shared" si="26"/>
        <v/>
      </c>
      <c r="V344" s="221" t="str">
        <f>IFERROR(_xlfn.XLOOKUP($A344,Input_Raw!$A:$A,Input_Raw!$FG:$FG),"")</f>
        <v/>
      </c>
      <c r="W344" s="222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78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22">
        <f>IFERROR(_xlfn.XLOOKUP($D344,'Modelling New'!$D:$D,'Modelling New'!O:O),"")</f>
        <v>0.80591076761496216</v>
      </c>
      <c r="AF344" s="222">
        <f>IFERROR(_xlfn.XLOOKUP($D344,'Modelling New'!$D:$D,'Modelling New'!W:W),"")</f>
        <v>0.23245759506743396</v>
      </c>
      <c r="AG344" s="222">
        <f>IFERROR(_xlfn.XLOOKUP($D344,'Modelling New'!$D:$D,'Modelling New'!AE:AE),"")</f>
        <v>0.995</v>
      </c>
      <c r="AH344" s="222">
        <f>IFERROR(_xlfn.XLOOKUP($D344,'Modelling New'!$D:$D,'Modelling New'!AF:AF),"")</f>
        <v>0.995</v>
      </c>
      <c r="AI344" s="9"/>
      <c r="AJ344" s="9"/>
      <c r="AK344" s="245"/>
      <c r="AL344" s="245"/>
      <c r="AM344" s="245"/>
      <c r="AN344" s="219"/>
      <c r="AO344" s="222"/>
      <c r="AP344" s="222"/>
      <c r="AQ344" s="222"/>
      <c r="AR344" s="223">
        <f>_xlfn.XLOOKUP(D344,'Modelling New'!$D:$D,'Modelling New'!$N:$N)</f>
        <v>130</v>
      </c>
      <c r="AS344" s="223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18">
        <f>Table13[[#This Row],[Date]]-DAY(Table13[[#This Row],[Date]])+1</f>
        <v>46082</v>
      </c>
      <c r="E345" s="9">
        <f t="shared" si="25"/>
        <v>31</v>
      </c>
      <c r="F345" s="188" t="str">
        <f>IFERROR(_xlfn.XLOOKUP($A345,Input_Raw!$A:$A,Input_Raw!$FC:$FC),"")</f>
        <v/>
      </c>
      <c r="G345" s="178" t="str">
        <f>IFERROR(_xlfn.XLOOKUP($A345,Input_Raw!$A:$A,Input_Raw!$CY:$CY),"")</f>
        <v/>
      </c>
      <c r="H345" s="178" t="str">
        <f>IFERROR(_xlfn.XLOOKUP($A345,Input_Raw!$A:$A,Input_Raw!$DA:$DA),"")</f>
        <v/>
      </c>
      <c r="I345" s="178" t="str">
        <f>IFERROR(_xlfn.XLOOKUP($A345,Input_Raw!$A:$A,Input_Raw!$CX:$CX),"")</f>
        <v/>
      </c>
      <c r="J345" s="178" t="str">
        <f>IFERROR(_xlfn.XLOOKUP($A345,Input_Raw!$A:$A,Input_Raw!$CZ:$CZ),"")</f>
        <v/>
      </c>
      <c r="K345" s="190" t="str">
        <f>IFERROR(_xlfn.XLOOKUP($A345,Input_Raw!$A:$A,Input_Raw!$DB:$DB),"")</f>
        <v/>
      </c>
      <c r="L345" s="190" t="str">
        <f>IFERROR(_xlfn.XLOOKUP($A345,Input_Raw!$A:$A,Input_Raw!$DC:$DC),"")</f>
        <v/>
      </c>
      <c r="M345" s="189" t="str">
        <f>IFERROR(_xlfn.XLOOKUP($A345,Input_Raw!$A:$A,Input_Raw!$DF:$DF),"")</f>
        <v/>
      </c>
      <c r="N345" s="189" t="str">
        <f>IFERROR(_xlfn.XLOOKUP($A345,Input_Raw!$A:$A,Input_Raw!$DG:$DG),"")</f>
        <v/>
      </c>
      <c r="O345" s="219" t="str">
        <f>IFERROR(1-(SUMIF(Plant_BD!$B:$B,$A345,Plant_BD!$AL:$AL)/($AA345+SUMIF(Plant_BD!$B:$B,$A345,Plant_BD!$AL:$AL))),"")</f>
        <v/>
      </c>
      <c r="P345" s="219"/>
      <c r="Q345" s="220" t="str">
        <f>IFERROR(1-(SUMIF(Grid_BD!$B:$B,$A345,Grid_BD!$V:$V)/($AA345+SUMIF(Grid_BD!$B:$B,$A345,Grid_BD!$V:$V))),"")</f>
        <v/>
      </c>
      <c r="R345" s="219" t="str">
        <f>IFERROR(1-(SUMIF(Grid_BD!$B:$B,$A345,Grid_BD!$V:$V)/($AA345+SUMIF(Grid_BD!$B:$B,$A345,Grid_BD!$V:$V))),"")</f>
        <v/>
      </c>
      <c r="S345" s="9"/>
      <c r="T345" s="220"/>
      <c r="U345" s="221" t="str">
        <f t="shared" si="26"/>
        <v/>
      </c>
      <c r="V345" s="221" t="str">
        <f>IFERROR(_xlfn.XLOOKUP($A345,Input_Raw!$A:$A,Input_Raw!$FG:$FG),"")</f>
        <v/>
      </c>
      <c r="W345" s="222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78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22">
        <f>IFERROR(_xlfn.XLOOKUP($D345,'Modelling New'!$D:$D,'Modelling New'!O:O),"")</f>
        <v>0.80591076761496216</v>
      </c>
      <c r="AF345" s="222">
        <f>IFERROR(_xlfn.XLOOKUP($D345,'Modelling New'!$D:$D,'Modelling New'!W:W),"")</f>
        <v>0.23245759506743396</v>
      </c>
      <c r="AG345" s="222">
        <f>IFERROR(_xlfn.XLOOKUP($D345,'Modelling New'!$D:$D,'Modelling New'!AE:AE),"")</f>
        <v>0.995</v>
      </c>
      <c r="AH345" s="222">
        <f>IFERROR(_xlfn.XLOOKUP($D345,'Modelling New'!$D:$D,'Modelling New'!AF:AF),"")</f>
        <v>0.995</v>
      </c>
      <c r="AI345" s="9"/>
      <c r="AJ345" s="9"/>
      <c r="AK345" s="245"/>
      <c r="AL345" s="245"/>
      <c r="AM345" s="245"/>
      <c r="AN345" s="219"/>
      <c r="AO345" s="222"/>
      <c r="AP345" s="222"/>
      <c r="AQ345" s="222"/>
      <c r="AR345" s="223">
        <f>_xlfn.XLOOKUP(D345,'Modelling New'!$D:$D,'Modelling New'!$N:$N)</f>
        <v>130</v>
      </c>
      <c r="AS345" s="223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18">
        <f>Table13[[#This Row],[Date]]-DAY(Table13[[#This Row],[Date]])+1</f>
        <v>46082</v>
      </c>
      <c r="E346" s="9">
        <f t="shared" si="25"/>
        <v>31</v>
      </c>
      <c r="F346" s="188" t="str">
        <f>IFERROR(_xlfn.XLOOKUP($A346,Input_Raw!$A:$A,Input_Raw!$FC:$FC),"")</f>
        <v/>
      </c>
      <c r="G346" s="189" t="str">
        <f>IFERROR(_xlfn.XLOOKUP($A346,Input_Raw!$A:$A,Input_Raw!$CY:$CY),"")</f>
        <v/>
      </c>
      <c r="H346" s="189" t="str">
        <f>IFERROR(_xlfn.XLOOKUP($A346,Input_Raw!$A:$A,Input_Raw!$DA:$DA),"")</f>
        <v/>
      </c>
      <c r="I346" s="189" t="str">
        <f>IFERROR(_xlfn.XLOOKUP($A346,Input_Raw!$A:$A,Input_Raw!$CX:$CX),"")</f>
        <v/>
      </c>
      <c r="J346" s="189" t="str">
        <f>IFERROR(_xlfn.XLOOKUP($A346,Input_Raw!$A:$A,Input_Raw!$CZ:$CZ),"")</f>
        <v/>
      </c>
      <c r="K346" s="190" t="str">
        <f>IFERROR(_xlfn.XLOOKUP($A346,Input_Raw!$A:$A,Input_Raw!$DB:$DB),"")</f>
        <v/>
      </c>
      <c r="L346" s="190" t="str">
        <f>IFERROR(_xlfn.XLOOKUP($A346,Input_Raw!$A:$A,Input_Raw!$DC:$DC),"")</f>
        <v/>
      </c>
      <c r="M346" s="189" t="str">
        <f>IFERROR(_xlfn.XLOOKUP($A346,Input_Raw!$A:$A,Input_Raw!$DF:$DF),"")</f>
        <v/>
      </c>
      <c r="N346" s="189" t="str">
        <f>IFERROR(_xlfn.XLOOKUP($A346,Input_Raw!$A:$A,Input_Raw!$DG:$DG),"")</f>
        <v/>
      </c>
      <c r="O346" s="219" t="str">
        <f>IFERROR(1-(SUMIF(Plant_BD!$B:$B,$A346,Plant_BD!$AL:$AL)/($AA346+SUMIF(Plant_BD!$B:$B,$A346,Plant_BD!$AL:$AL))),"")</f>
        <v/>
      </c>
      <c r="P346" s="219"/>
      <c r="Q346" s="220" t="str">
        <f>IFERROR(1-(SUMIF(Grid_BD!$B:$B,$A346,Grid_BD!$V:$V)/($AA346+SUMIF(Grid_BD!$B:$B,$A346,Grid_BD!$V:$V))),"")</f>
        <v/>
      </c>
      <c r="R346" s="219" t="str">
        <f>IFERROR(1-(SUMIF(Grid_BD!$B:$B,$A346,Grid_BD!$V:$V)/($AA346+SUMIF(Grid_BD!$B:$B,$A346,Grid_BD!$V:$V))),"")</f>
        <v/>
      </c>
      <c r="S346" s="9"/>
      <c r="T346" s="220"/>
      <c r="U346" s="221" t="str">
        <f t="shared" si="26"/>
        <v/>
      </c>
      <c r="V346" s="221" t="str">
        <f>IFERROR(_xlfn.XLOOKUP($A346,Input_Raw!$A:$A,Input_Raw!$FG:$FG),"")</f>
        <v/>
      </c>
      <c r="W346" s="222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78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22">
        <f>IFERROR(_xlfn.XLOOKUP($D346,'Modelling New'!$D:$D,'Modelling New'!O:O),"")</f>
        <v>0.80591076761496216</v>
      </c>
      <c r="AF346" s="222">
        <f>IFERROR(_xlfn.XLOOKUP($D346,'Modelling New'!$D:$D,'Modelling New'!W:W),"")</f>
        <v>0.23245759506743396</v>
      </c>
      <c r="AG346" s="222">
        <f>IFERROR(_xlfn.XLOOKUP($D346,'Modelling New'!$D:$D,'Modelling New'!AE:AE),"")</f>
        <v>0.995</v>
      </c>
      <c r="AH346" s="222">
        <f>IFERROR(_xlfn.XLOOKUP($D346,'Modelling New'!$D:$D,'Modelling New'!AF:AF),"")</f>
        <v>0.995</v>
      </c>
      <c r="AI346" s="9"/>
      <c r="AJ346" s="9"/>
      <c r="AK346" s="245"/>
      <c r="AL346" s="245"/>
      <c r="AM346" s="245"/>
      <c r="AN346" s="219"/>
      <c r="AO346" s="222"/>
      <c r="AP346" s="222"/>
      <c r="AQ346" s="222"/>
      <c r="AR346" s="223">
        <f>_xlfn.XLOOKUP(D346,'Modelling New'!$D:$D,'Modelling New'!$N:$N)</f>
        <v>130</v>
      </c>
      <c r="AS346" s="223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18">
        <f>Table13[[#This Row],[Date]]-DAY(Table13[[#This Row],[Date]])+1</f>
        <v>46082</v>
      </c>
      <c r="E347" s="9">
        <f t="shared" si="25"/>
        <v>31</v>
      </c>
      <c r="F347" s="188" t="str">
        <f>IFERROR(_xlfn.XLOOKUP($A347,Input_Raw!$A:$A,Input_Raw!$FC:$FC),"")</f>
        <v/>
      </c>
      <c r="G347" s="178" t="str">
        <f>IFERROR(_xlfn.XLOOKUP($A347,Input_Raw!$A:$A,Input_Raw!$CY:$CY),"")</f>
        <v/>
      </c>
      <c r="H347" s="178" t="str">
        <f>IFERROR(_xlfn.XLOOKUP($A347,Input_Raw!$A:$A,Input_Raw!$DA:$DA),"")</f>
        <v/>
      </c>
      <c r="I347" s="178" t="str">
        <f>IFERROR(_xlfn.XLOOKUP($A347,Input_Raw!$A:$A,Input_Raw!$CX:$CX),"")</f>
        <v/>
      </c>
      <c r="J347" s="178" t="str">
        <f>IFERROR(_xlfn.XLOOKUP($A347,Input_Raw!$A:$A,Input_Raw!$CZ:$CZ),"")</f>
        <v/>
      </c>
      <c r="K347" s="190" t="str">
        <f>IFERROR(_xlfn.XLOOKUP($A347,Input_Raw!$A:$A,Input_Raw!$DB:$DB),"")</f>
        <v/>
      </c>
      <c r="L347" s="190" t="str">
        <f>IFERROR(_xlfn.XLOOKUP($A347,Input_Raw!$A:$A,Input_Raw!$DC:$DC),"")</f>
        <v/>
      </c>
      <c r="M347" s="189" t="str">
        <f>IFERROR(_xlfn.XLOOKUP($A347,Input_Raw!$A:$A,Input_Raw!$DF:$DF),"")</f>
        <v/>
      </c>
      <c r="N347" s="189" t="str">
        <f>IFERROR(_xlfn.XLOOKUP($A347,Input_Raw!$A:$A,Input_Raw!$DG:$DG),"")</f>
        <v/>
      </c>
      <c r="O347" s="219" t="str">
        <f>IFERROR(1-(SUMIF(Plant_BD!$B:$B,$A347,Plant_BD!$AL:$AL)/($AA347+SUMIF(Plant_BD!$B:$B,$A347,Plant_BD!$AL:$AL))),"")</f>
        <v/>
      </c>
      <c r="P347" s="219"/>
      <c r="Q347" s="220" t="str">
        <f>IFERROR(1-(SUMIF(Grid_BD!$B:$B,$A347,Grid_BD!$V:$V)/($AA347+SUMIF(Grid_BD!$B:$B,$A347,Grid_BD!$V:$V))),"")</f>
        <v/>
      </c>
      <c r="R347" s="219" t="str">
        <f>IFERROR(1-(SUMIF(Grid_BD!$B:$B,$A347,Grid_BD!$V:$V)/($AA347+SUMIF(Grid_BD!$B:$B,$A347,Grid_BD!$V:$V))),"")</f>
        <v/>
      </c>
      <c r="S347" s="9"/>
      <c r="T347" s="220"/>
      <c r="U347" s="221" t="str">
        <f t="shared" si="26"/>
        <v/>
      </c>
      <c r="V347" s="221" t="str">
        <f>IFERROR(_xlfn.XLOOKUP($A347,Input_Raw!$A:$A,Input_Raw!$FG:$FG),"")</f>
        <v/>
      </c>
      <c r="W347" s="222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78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22">
        <f>IFERROR(_xlfn.XLOOKUP($D347,'Modelling New'!$D:$D,'Modelling New'!O:O),"")</f>
        <v>0.80591076761496216</v>
      </c>
      <c r="AF347" s="222">
        <f>IFERROR(_xlfn.XLOOKUP($D347,'Modelling New'!$D:$D,'Modelling New'!W:W),"")</f>
        <v>0.23245759506743396</v>
      </c>
      <c r="AG347" s="222">
        <f>IFERROR(_xlfn.XLOOKUP($D347,'Modelling New'!$D:$D,'Modelling New'!AE:AE),"")</f>
        <v>0.995</v>
      </c>
      <c r="AH347" s="222">
        <f>IFERROR(_xlfn.XLOOKUP($D347,'Modelling New'!$D:$D,'Modelling New'!AF:AF),"")</f>
        <v>0.995</v>
      </c>
      <c r="AI347" s="9"/>
      <c r="AJ347" s="9"/>
      <c r="AK347" s="245"/>
      <c r="AL347" s="245"/>
      <c r="AM347" s="245"/>
      <c r="AN347" s="219"/>
      <c r="AO347" s="222"/>
      <c r="AP347" s="222"/>
      <c r="AQ347" s="222"/>
      <c r="AR347" s="223">
        <f>_xlfn.XLOOKUP(D347,'Modelling New'!$D:$D,'Modelling New'!$N:$N)</f>
        <v>130</v>
      </c>
      <c r="AS347" s="223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18">
        <f>Table13[[#This Row],[Date]]-DAY(Table13[[#This Row],[Date]])+1</f>
        <v>46082</v>
      </c>
      <c r="E348" s="9">
        <f t="shared" si="25"/>
        <v>31</v>
      </c>
      <c r="F348" s="188" t="str">
        <f>IFERROR(_xlfn.XLOOKUP($A348,Input_Raw!$A:$A,Input_Raw!$FC:$FC),"")</f>
        <v/>
      </c>
      <c r="G348" s="189" t="str">
        <f>IFERROR(_xlfn.XLOOKUP($A348,Input_Raw!$A:$A,Input_Raw!$CY:$CY),"")</f>
        <v/>
      </c>
      <c r="H348" s="189" t="str">
        <f>IFERROR(_xlfn.XLOOKUP($A348,Input_Raw!$A:$A,Input_Raw!$DA:$DA),"")</f>
        <v/>
      </c>
      <c r="I348" s="189" t="str">
        <f>IFERROR(_xlfn.XLOOKUP($A348,Input_Raw!$A:$A,Input_Raw!$CX:$CX),"")</f>
        <v/>
      </c>
      <c r="J348" s="189" t="str">
        <f>IFERROR(_xlfn.XLOOKUP($A348,Input_Raw!$A:$A,Input_Raw!$CZ:$CZ),"")</f>
        <v/>
      </c>
      <c r="K348" s="190" t="str">
        <f>IFERROR(_xlfn.XLOOKUP($A348,Input_Raw!$A:$A,Input_Raw!$DB:$DB),"")</f>
        <v/>
      </c>
      <c r="L348" s="190" t="str">
        <f>IFERROR(_xlfn.XLOOKUP($A348,Input_Raw!$A:$A,Input_Raw!$DC:$DC),"")</f>
        <v/>
      </c>
      <c r="M348" s="189" t="str">
        <f>IFERROR(_xlfn.XLOOKUP($A348,Input_Raw!$A:$A,Input_Raw!$DF:$DF),"")</f>
        <v/>
      </c>
      <c r="N348" s="189" t="str">
        <f>IFERROR(_xlfn.XLOOKUP($A348,Input_Raw!$A:$A,Input_Raw!$DG:$DG),"")</f>
        <v/>
      </c>
      <c r="O348" s="219" t="str">
        <f>IFERROR(1-(SUMIF(Plant_BD!$B:$B,$A348,Plant_BD!$AL:$AL)/($AA348+SUMIF(Plant_BD!$B:$B,$A348,Plant_BD!$AL:$AL))),"")</f>
        <v/>
      </c>
      <c r="P348" s="219"/>
      <c r="Q348" s="220" t="str">
        <f>IFERROR(1-(SUMIF(Grid_BD!$B:$B,$A348,Grid_BD!$V:$V)/($AA348+SUMIF(Grid_BD!$B:$B,$A348,Grid_BD!$V:$V))),"")</f>
        <v/>
      </c>
      <c r="R348" s="219" t="str">
        <f>IFERROR(1-(SUMIF(Grid_BD!$B:$B,$A348,Grid_BD!$V:$V)/($AA348+SUMIF(Grid_BD!$B:$B,$A348,Grid_BD!$V:$V))),"")</f>
        <v/>
      </c>
      <c r="S348" s="9"/>
      <c r="T348" s="220"/>
      <c r="U348" s="221" t="str">
        <f t="shared" si="26"/>
        <v/>
      </c>
      <c r="V348" s="221" t="str">
        <f>IFERROR(_xlfn.XLOOKUP($A348,Input_Raw!$A:$A,Input_Raw!$FG:$FG),"")</f>
        <v/>
      </c>
      <c r="W348" s="222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78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22">
        <f>IFERROR(_xlfn.XLOOKUP($D348,'Modelling New'!$D:$D,'Modelling New'!O:O),"")</f>
        <v>0.80591076761496216</v>
      </c>
      <c r="AF348" s="222">
        <f>IFERROR(_xlfn.XLOOKUP($D348,'Modelling New'!$D:$D,'Modelling New'!W:W),"")</f>
        <v>0.23245759506743396</v>
      </c>
      <c r="AG348" s="222">
        <f>IFERROR(_xlfn.XLOOKUP($D348,'Modelling New'!$D:$D,'Modelling New'!AE:AE),"")</f>
        <v>0.995</v>
      </c>
      <c r="AH348" s="222">
        <f>IFERROR(_xlfn.XLOOKUP($D348,'Modelling New'!$D:$D,'Modelling New'!AF:AF),"")</f>
        <v>0.995</v>
      </c>
      <c r="AI348" s="9"/>
      <c r="AJ348" s="9"/>
      <c r="AK348" s="245"/>
      <c r="AL348" s="245"/>
      <c r="AM348" s="245"/>
      <c r="AN348" s="219"/>
      <c r="AO348" s="222"/>
      <c r="AP348" s="222"/>
      <c r="AQ348" s="222"/>
      <c r="AR348" s="223">
        <f>_xlfn.XLOOKUP(D348,'Modelling New'!$D:$D,'Modelling New'!$N:$N)</f>
        <v>130</v>
      </c>
      <c r="AS348" s="223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18">
        <f>Table13[[#This Row],[Date]]-DAY(Table13[[#This Row],[Date]])+1</f>
        <v>46082</v>
      </c>
      <c r="E349" s="9">
        <f t="shared" si="25"/>
        <v>31</v>
      </c>
      <c r="F349" s="188" t="str">
        <f>IFERROR(_xlfn.XLOOKUP($A349,Input_Raw!$A:$A,Input_Raw!$FC:$FC),"")</f>
        <v/>
      </c>
      <c r="G349" s="178" t="str">
        <f>IFERROR(_xlfn.XLOOKUP($A349,Input_Raw!$A:$A,Input_Raw!$CY:$CY),"")</f>
        <v/>
      </c>
      <c r="H349" s="178" t="str">
        <f>IFERROR(_xlfn.XLOOKUP($A349,Input_Raw!$A:$A,Input_Raw!$DA:$DA),"")</f>
        <v/>
      </c>
      <c r="I349" s="178" t="str">
        <f>IFERROR(_xlfn.XLOOKUP($A349,Input_Raw!$A:$A,Input_Raw!$CX:$CX),"")</f>
        <v/>
      </c>
      <c r="J349" s="178" t="str">
        <f>IFERROR(_xlfn.XLOOKUP($A349,Input_Raw!$A:$A,Input_Raw!$CZ:$CZ),"")</f>
        <v/>
      </c>
      <c r="K349" s="190" t="str">
        <f>IFERROR(_xlfn.XLOOKUP($A349,Input_Raw!$A:$A,Input_Raw!$DB:$DB),"")</f>
        <v/>
      </c>
      <c r="L349" s="190" t="str">
        <f>IFERROR(_xlfn.XLOOKUP($A349,Input_Raw!$A:$A,Input_Raw!$DC:$DC),"")</f>
        <v/>
      </c>
      <c r="M349" s="189" t="str">
        <f>IFERROR(_xlfn.XLOOKUP($A349,Input_Raw!$A:$A,Input_Raw!$DF:$DF),"")</f>
        <v/>
      </c>
      <c r="N349" s="189" t="str">
        <f>IFERROR(_xlfn.XLOOKUP($A349,Input_Raw!$A:$A,Input_Raw!$DG:$DG),"")</f>
        <v/>
      </c>
      <c r="O349" s="219" t="str">
        <f>IFERROR(1-(SUMIF(Plant_BD!$B:$B,$A349,Plant_BD!$AL:$AL)/($AA349+SUMIF(Plant_BD!$B:$B,$A349,Plant_BD!$AL:$AL))),"")</f>
        <v/>
      </c>
      <c r="P349" s="219"/>
      <c r="Q349" s="220" t="str">
        <f>IFERROR(1-(SUMIF(Grid_BD!$B:$B,$A349,Grid_BD!$V:$V)/($AA349+SUMIF(Grid_BD!$B:$B,$A349,Grid_BD!$V:$V))),"")</f>
        <v/>
      </c>
      <c r="R349" s="219" t="str">
        <f>IFERROR(1-(SUMIF(Grid_BD!$B:$B,$A349,Grid_BD!$V:$V)/($AA349+SUMIF(Grid_BD!$B:$B,$A349,Grid_BD!$V:$V))),"")</f>
        <v/>
      </c>
      <c r="S349" s="9"/>
      <c r="T349" s="220"/>
      <c r="U349" s="221" t="str">
        <f t="shared" si="26"/>
        <v/>
      </c>
      <c r="V349" s="221" t="str">
        <f>IFERROR(_xlfn.XLOOKUP($A349,Input_Raw!$A:$A,Input_Raw!$FG:$FG),"")</f>
        <v/>
      </c>
      <c r="W349" s="222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78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22">
        <f>IFERROR(_xlfn.XLOOKUP($D349,'Modelling New'!$D:$D,'Modelling New'!O:O),"")</f>
        <v>0.80591076761496216</v>
      </c>
      <c r="AF349" s="222">
        <f>IFERROR(_xlfn.XLOOKUP($D349,'Modelling New'!$D:$D,'Modelling New'!W:W),"")</f>
        <v>0.23245759506743396</v>
      </c>
      <c r="AG349" s="222">
        <f>IFERROR(_xlfn.XLOOKUP($D349,'Modelling New'!$D:$D,'Modelling New'!AE:AE),"")</f>
        <v>0.995</v>
      </c>
      <c r="AH349" s="222">
        <f>IFERROR(_xlfn.XLOOKUP($D349,'Modelling New'!$D:$D,'Modelling New'!AF:AF),"")</f>
        <v>0.995</v>
      </c>
      <c r="AI349" s="9"/>
      <c r="AJ349" s="9"/>
      <c r="AK349" s="245"/>
      <c r="AL349" s="245"/>
      <c r="AM349" s="245"/>
      <c r="AN349" s="219"/>
      <c r="AO349" s="222"/>
      <c r="AP349" s="222"/>
      <c r="AQ349" s="222"/>
      <c r="AR349" s="223">
        <f>_xlfn.XLOOKUP(D349,'Modelling New'!$D:$D,'Modelling New'!$N:$N)</f>
        <v>130</v>
      </c>
      <c r="AS349" s="223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18">
        <f>Table13[[#This Row],[Date]]-DAY(Table13[[#This Row],[Date]])+1</f>
        <v>46082</v>
      </c>
      <c r="E350" s="9">
        <f t="shared" si="25"/>
        <v>31</v>
      </c>
      <c r="F350" s="188" t="str">
        <f>IFERROR(_xlfn.XLOOKUP($A350,Input_Raw!$A:$A,Input_Raw!$FC:$FC),"")</f>
        <v/>
      </c>
      <c r="G350" s="189" t="str">
        <f>IFERROR(_xlfn.XLOOKUP($A350,Input_Raw!$A:$A,Input_Raw!$CY:$CY),"")</f>
        <v/>
      </c>
      <c r="H350" s="189" t="str">
        <f>IFERROR(_xlfn.XLOOKUP($A350,Input_Raw!$A:$A,Input_Raw!$DA:$DA),"")</f>
        <v/>
      </c>
      <c r="I350" s="189" t="str">
        <f>IFERROR(_xlfn.XLOOKUP($A350,Input_Raw!$A:$A,Input_Raw!$CX:$CX),"")</f>
        <v/>
      </c>
      <c r="J350" s="189" t="str">
        <f>IFERROR(_xlfn.XLOOKUP($A350,Input_Raw!$A:$A,Input_Raw!$CZ:$CZ),"")</f>
        <v/>
      </c>
      <c r="K350" s="190" t="str">
        <f>IFERROR(_xlfn.XLOOKUP($A350,Input_Raw!$A:$A,Input_Raw!$DB:$DB),"")</f>
        <v/>
      </c>
      <c r="L350" s="190" t="str">
        <f>IFERROR(_xlfn.XLOOKUP($A350,Input_Raw!$A:$A,Input_Raw!$DC:$DC),"")</f>
        <v/>
      </c>
      <c r="M350" s="189" t="str">
        <f>IFERROR(_xlfn.XLOOKUP($A350,Input_Raw!$A:$A,Input_Raw!$DF:$DF),"")</f>
        <v/>
      </c>
      <c r="N350" s="189" t="str">
        <f>IFERROR(_xlfn.XLOOKUP($A350,Input_Raw!$A:$A,Input_Raw!$DG:$DG),"")</f>
        <v/>
      </c>
      <c r="O350" s="219" t="str">
        <f>IFERROR(1-(SUMIF(Plant_BD!$B:$B,$A350,Plant_BD!$AL:$AL)/($AA350+SUMIF(Plant_BD!$B:$B,$A350,Plant_BD!$AL:$AL))),"")</f>
        <v/>
      </c>
      <c r="P350" s="219"/>
      <c r="Q350" s="220" t="str">
        <f>IFERROR(1-(SUMIF(Grid_BD!$B:$B,$A350,Grid_BD!$V:$V)/($AA350+SUMIF(Grid_BD!$B:$B,$A350,Grid_BD!$V:$V))),"")</f>
        <v/>
      </c>
      <c r="R350" s="219" t="str">
        <f>IFERROR(1-(SUMIF(Grid_BD!$B:$B,$A350,Grid_BD!$V:$V)/($AA350+SUMIF(Grid_BD!$B:$B,$A350,Grid_BD!$V:$V))),"")</f>
        <v/>
      </c>
      <c r="S350" s="9"/>
      <c r="T350" s="220"/>
      <c r="U350" s="221" t="str">
        <f t="shared" si="26"/>
        <v/>
      </c>
      <c r="V350" s="221" t="str">
        <f>IFERROR(_xlfn.XLOOKUP($A350,Input_Raw!$A:$A,Input_Raw!$FG:$FG),"")</f>
        <v/>
      </c>
      <c r="W350" s="222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78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22">
        <f>IFERROR(_xlfn.XLOOKUP($D350,'Modelling New'!$D:$D,'Modelling New'!O:O),"")</f>
        <v>0.80591076761496216</v>
      </c>
      <c r="AF350" s="222">
        <f>IFERROR(_xlfn.XLOOKUP($D350,'Modelling New'!$D:$D,'Modelling New'!W:W),"")</f>
        <v>0.23245759506743396</v>
      </c>
      <c r="AG350" s="222">
        <f>IFERROR(_xlfn.XLOOKUP($D350,'Modelling New'!$D:$D,'Modelling New'!AE:AE),"")</f>
        <v>0.995</v>
      </c>
      <c r="AH350" s="222">
        <f>IFERROR(_xlfn.XLOOKUP($D350,'Modelling New'!$D:$D,'Modelling New'!AF:AF),"")</f>
        <v>0.995</v>
      </c>
      <c r="AI350" s="9"/>
      <c r="AJ350" s="9"/>
      <c r="AK350" s="245"/>
      <c r="AL350" s="245"/>
      <c r="AM350" s="245"/>
      <c r="AN350" s="219"/>
      <c r="AO350" s="222"/>
      <c r="AP350" s="222"/>
      <c r="AQ350" s="222"/>
      <c r="AR350" s="223">
        <f>_xlfn.XLOOKUP(D350,'Modelling New'!$D:$D,'Modelling New'!$N:$N)</f>
        <v>130</v>
      </c>
      <c r="AS350" s="223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18">
        <f>Table13[[#This Row],[Date]]-DAY(Table13[[#This Row],[Date]])+1</f>
        <v>46082</v>
      </c>
      <c r="E351" s="9">
        <f t="shared" si="25"/>
        <v>31</v>
      </c>
      <c r="F351" s="188" t="str">
        <f>IFERROR(_xlfn.XLOOKUP($A351,Input_Raw!$A:$A,Input_Raw!$FC:$FC),"")</f>
        <v/>
      </c>
      <c r="G351" s="178" t="str">
        <f>IFERROR(_xlfn.XLOOKUP($A351,Input_Raw!$A:$A,Input_Raw!$CY:$CY),"")</f>
        <v/>
      </c>
      <c r="H351" s="178" t="str">
        <f>IFERROR(_xlfn.XLOOKUP($A351,Input_Raw!$A:$A,Input_Raw!$DA:$DA),"")</f>
        <v/>
      </c>
      <c r="I351" s="178" t="str">
        <f>IFERROR(_xlfn.XLOOKUP($A351,Input_Raw!$A:$A,Input_Raw!$CX:$CX),"")</f>
        <v/>
      </c>
      <c r="J351" s="178" t="str">
        <f>IFERROR(_xlfn.XLOOKUP($A351,Input_Raw!$A:$A,Input_Raw!$CZ:$CZ),"")</f>
        <v/>
      </c>
      <c r="K351" s="190" t="str">
        <f>IFERROR(_xlfn.XLOOKUP($A351,Input_Raw!$A:$A,Input_Raw!$DB:$DB),"")</f>
        <v/>
      </c>
      <c r="L351" s="190" t="str">
        <f>IFERROR(_xlfn.XLOOKUP($A351,Input_Raw!$A:$A,Input_Raw!$DC:$DC),"")</f>
        <v/>
      </c>
      <c r="M351" s="189" t="str">
        <f>IFERROR(_xlfn.XLOOKUP($A351,Input_Raw!$A:$A,Input_Raw!$DF:$DF),"")</f>
        <v/>
      </c>
      <c r="N351" s="189" t="str">
        <f>IFERROR(_xlfn.XLOOKUP($A351,Input_Raw!$A:$A,Input_Raw!$DG:$DG),"")</f>
        <v/>
      </c>
      <c r="O351" s="219" t="str">
        <f>IFERROR(1-(SUMIF(Plant_BD!$B:$B,$A351,Plant_BD!$AL:$AL)/($AA351+SUMIF(Plant_BD!$B:$B,$A351,Plant_BD!$AL:$AL))),"")</f>
        <v/>
      </c>
      <c r="P351" s="219"/>
      <c r="Q351" s="220" t="str">
        <f>IFERROR(1-(SUMIF(Grid_BD!$B:$B,$A351,Grid_BD!$V:$V)/($AA351+SUMIF(Grid_BD!$B:$B,$A351,Grid_BD!$V:$V))),"")</f>
        <v/>
      </c>
      <c r="R351" s="219" t="str">
        <f>IFERROR(1-(SUMIF(Grid_BD!$B:$B,$A351,Grid_BD!$V:$V)/($AA351+SUMIF(Grid_BD!$B:$B,$A351,Grid_BD!$V:$V))),"")</f>
        <v/>
      </c>
      <c r="S351" s="9"/>
      <c r="T351" s="220"/>
      <c r="U351" s="221" t="str">
        <f t="shared" si="26"/>
        <v/>
      </c>
      <c r="V351" s="221" t="str">
        <f>IFERROR(_xlfn.XLOOKUP($A351,Input_Raw!$A:$A,Input_Raw!$FG:$FG),"")</f>
        <v/>
      </c>
      <c r="W351" s="222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78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22">
        <f>IFERROR(_xlfn.XLOOKUP($D351,'Modelling New'!$D:$D,'Modelling New'!O:O),"")</f>
        <v>0.80591076761496216</v>
      </c>
      <c r="AF351" s="222">
        <f>IFERROR(_xlfn.XLOOKUP($D351,'Modelling New'!$D:$D,'Modelling New'!W:W),"")</f>
        <v>0.23245759506743396</v>
      </c>
      <c r="AG351" s="222">
        <f>IFERROR(_xlfn.XLOOKUP($D351,'Modelling New'!$D:$D,'Modelling New'!AE:AE),"")</f>
        <v>0.995</v>
      </c>
      <c r="AH351" s="222">
        <f>IFERROR(_xlfn.XLOOKUP($D351,'Modelling New'!$D:$D,'Modelling New'!AF:AF),"")</f>
        <v>0.995</v>
      </c>
      <c r="AI351" s="9"/>
      <c r="AJ351" s="9"/>
      <c r="AK351" s="245"/>
      <c r="AL351" s="245"/>
      <c r="AM351" s="245"/>
      <c r="AN351" s="219"/>
      <c r="AO351" s="222"/>
      <c r="AP351" s="222"/>
      <c r="AQ351" s="222"/>
      <c r="AR351" s="223">
        <f>_xlfn.XLOOKUP(D351,'Modelling New'!$D:$D,'Modelling New'!$N:$N)</f>
        <v>130</v>
      </c>
      <c r="AS351" s="223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18">
        <f>Table13[[#This Row],[Date]]-DAY(Table13[[#This Row],[Date]])+1</f>
        <v>46082</v>
      </c>
      <c r="E352" s="9">
        <f t="shared" si="25"/>
        <v>31</v>
      </c>
      <c r="F352" s="188" t="str">
        <f>IFERROR(_xlfn.XLOOKUP($A352,Input_Raw!$A:$A,Input_Raw!$FC:$FC),"")</f>
        <v/>
      </c>
      <c r="G352" s="189" t="str">
        <f>IFERROR(_xlfn.XLOOKUP($A352,Input_Raw!$A:$A,Input_Raw!$CY:$CY),"")</f>
        <v/>
      </c>
      <c r="H352" s="189" t="str">
        <f>IFERROR(_xlfn.XLOOKUP($A352,Input_Raw!$A:$A,Input_Raw!$DA:$DA),"")</f>
        <v/>
      </c>
      <c r="I352" s="189" t="str">
        <f>IFERROR(_xlfn.XLOOKUP($A352,Input_Raw!$A:$A,Input_Raw!$CX:$CX),"")</f>
        <v/>
      </c>
      <c r="J352" s="189" t="str">
        <f>IFERROR(_xlfn.XLOOKUP($A352,Input_Raw!$A:$A,Input_Raw!$CZ:$CZ),"")</f>
        <v/>
      </c>
      <c r="K352" s="190" t="str">
        <f>IFERROR(_xlfn.XLOOKUP($A352,Input_Raw!$A:$A,Input_Raw!$DB:$DB),"")</f>
        <v/>
      </c>
      <c r="L352" s="190" t="str">
        <f>IFERROR(_xlfn.XLOOKUP($A352,Input_Raw!$A:$A,Input_Raw!$DC:$DC),"")</f>
        <v/>
      </c>
      <c r="M352" s="189" t="str">
        <f>IFERROR(_xlfn.XLOOKUP($A352,Input_Raw!$A:$A,Input_Raw!$DF:$DF),"")</f>
        <v/>
      </c>
      <c r="N352" s="189" t="str">
        <f>IFERROR(_xlfn.XLOOKUP($A352,Input_Raw!$A:$A,Input_Raw!$DG:$DG),"")</f>
        <v/>
      </c>
      <c r="O352" s="219" t="str">
        <f>IFERROR(1-(SUMIF(Plant_BD!$B:$B,$A352,Plant_BD!$AL:$AL)/($AA352+SUMIF(Plant_BD!$B:$B,$A352,Plant_BD!$AL:$AL))),"")</f>
        <v/>
      </c>
      <c r="P352" s="219"/>
      <c r="Q352" s="220" t="str">
        <f>IFERROR(1-(SUMIF(Grid_BD!$B:$B,$A352,Grid_BD!$V:$V)/($AA352+SUMIF(Grid_BD!$B:$B,$A352,Grid_BD!$V:$V))),"")</f>
        <v/>
      </c>
      <c r="R352" s="219" t="str">
        <f>IFERROR(1-(SUMIF(Grid_BD!$B:$B,$A352,Grid_BD!$V:$V)/($AA352+SUMIF(Grid_BD!$B:$B,$A352,Grid_BD!$V:$V))),"")</f>
        <v/>
      </c>
      <c r="S352" s="9"/>
      <c r="T352" s="220"/>
      <c r="U352" s="221" t="str">
        <f t="shared" si="26"/>
        <v/>
      </c>
      <c r="V352" s="221" t="str">
        <f>IFERROR(_xlfn.XLOOKUP($A352,Input_Raw!$A:$A,Input_Raw!$FG:$FG),"")</f>
        <v/>
      </c>
      <c r="W352" s="222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78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22">
        <f>IFERROR(_xlfn.XLOOKUP($D352,'Modelling New'!$D:$D,'Modelling New'!O:O),"")</f>
        <v>0.80591076761496216</v>
      </c>
      <c r="AF352" s="222">
        <f>IFERROR(_xlfn.XLOOKUP($D352,'Modelling New'!$D:$D,'Modelling New'!W:W),"")</f>
        <v>0.23245759506743396</v>
      </c>
      <c r="AG352" s="222">
        <f>IFERROR(_xlfn.XLOOKUP($D352,'Modelling New'!$D:$D,'Modelling New'!AE:AE),"")</f>
        <v>0.995</v>
      </c>
      <c r="AH352" s="222">
        <f>IFERROR(_xlfn.XLOOKUP($D352,'Modelling New'!$D:$D,'Modelling New'!AF:AF),"")</f>
        <v>0.995</v>
      </c>
      <c r="AI352" s="9"/>
      <c r="AJ352" s="9"/>
      <c r="AK352" s="245"/>
      <c r="AL352" s="245"/>
      <c r="AM352" s="245"/>
      <c r="AN352" s="219"/>
      <c r="AO352" s="222"/>
      <c r="AP352" s="222"/>
      <c r="AQ352" s="222"/>
      <c r="AR352" s="223">
        <f>_xlfn.XLOOKUP(D352,'Modelling New'!$D:$D,'Modelling New'!$N:$N)</f>
        <v>130</v>
      </c>
      <c r="AS352" s="223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18">
        <f>Table13[[#This Row],[Date]]-DAY(Table13[[#This Row],[Date]])+1</f>
        <v>46082</v>
      </c>
      <c r="E353" s="9">
        <f t="shared" si="25"/>
        <v>31</v>
      </c>
      <c r="F353" s="188" t="str">
        <f>IFERROR(_xlfn.XLOOKUP($A353,Input_Raw!$A:$A,Input_Raw!$FC:$FC),"")</f>
        <v/>
      </c>
      <c r="G353" s="178" t="str">
        <f>IFERROR(_xlfn.XLOOKUP($A353,Input_Raw!$A:$A,Input_Raw!$CY:$CY),"")</f>
        <v/>
      </c>
      <c r="H353" s="178" t="str">
        <f>IFERROR(_xlfn.XLOOKUP($A353,Input_Raw!$A:$A,Input_Raw!$DA:$DA),"")</f>
        <v/>
      </c>
      <c r="I353" s="178" t="str">
        <f>IFERROR(_xlfn.XLOOKUP($A353,Input_Raw!$A:$A,Input_Raw!$CX:$CX),"")</f>
        <v/>
      </c>
      <c r="J353" s="178" t="str">
        <f>IFERROR(_xlfn.XLOOKUP($A353,Input_Raw!$A:$A,Input_Raw!$CZ:$CZ),"")</f>
        <v/>
      </c>
      <c r="K353" s="190" t="str">
        <f>IFERROR(_xlfn.XLOOKUP($A353,Input_Raw!$A:$A,Input_Raw!$DB:$DB),"")</f>
        <v/>
      </c>
      <c r="L353" s="190" t="str">
        <f>IFERROR(_xlfn.XLOOKUP($A353,Input_Raw!$A:$A,Input_Raw!$DC:$DC),"")</f>
        <v/>
      </c>
      <c r="M353" s="189" t="str">
        <f>IFERROR(_xlfn.XLOOKUP($A353,Input_Raw!$A:$A,Input_Raw!$DF:$DF),"")</f>
        <v/>
      </c>
      <c r="N353" s="189" t="str">
        <f>IFERROR(_xlfn.XLOOKUP($A353,Input_Raw!$A:$A,Input_Raw!$DG:$DG),"")</f>
        <v/>
      </c>
      <c r="O353" s="219" t="str">
        <f>IFERROR(1-(SUMIF(Plant_BD!$B:$B,$A353,Plant_BD!$AL:$AL)/($AA353+SUMIF(Plant_BD!$B:$B,$A353,Plant_BD!$AL:$AL))),"")</f>
        <v/>
      </c>
      <c r="P353" s="219"/>
      <c r="Q353" s="220" t="str">
        <f>IFERROR(1-(SUMIF(Grid_BD!$B:$B,$A353,Grid_BD!$V:$V)/($AA353+SUMIF(Grid_BD!$B:$B,$A353,Grid_BD!$V:$V))),"")</f>
        <v/>
      </c>
      <c r="R353" s="219" t="str">
        <f>IFERROR(1-(SUMIF(Grid_BD!$B:$B,$A353,Grid_BD!$V:$V)/($AA353+SUMIF(Grid_BD!$B:$B,$A353,Grid_BD!$V:$V))),"")</f>
        <v/>
      </c>
      <c r="S353" s="9"/>
      <c r="T353" s="220"/>
      <c r="U353" s="221" t="str">
        <f t="shared" si="26"/>
        <v/>
      </c>
      <c r="V353" s="221" t="str">
        <f>IFERROR(_xlfn.XLOOKUP($A353,Input_Raw!$A:$A,Input_Raw!$FG:$FG),"")</f>
        <v/>
      </c>
      <c r="W353" s="222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78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22">
        <f>IFERROR(_xlfn.XLOOKUP($D353,'Modelling New'!$D:$D,'Modelling New'!O:O),"")</f>
        <v>0.80591076761496216</v>
      </c>
      <c r="AF353" s="222">
        <f>IFERROR(_xlfn.XLOOKUP($D353,'Modelling New'!$D:$D,'Modelling New'!W:W),"")</f>
        <v>0.23245759506743396</v>
      </c>
      <c r="AG353" s="222">
        <f>IFERROR(_xlfn.XLOOKUP($D353,'Modelling New'!$D:$D,'Modelling New'!AE:AE),"")</f>
        <v>0.995</v>
      </c>
      <c r="AH353" s="222">
        <f>IFERROR(_xlfn.XLOOKUP($D353,'Modelling New'!$D:$D,'Modelling New'!AF:AF),"")</f>
        <v>0.995</v>
      </c>
      <c r="AI353" s="9"/>
      <c r="AJ353" s="9"/>
      <c r="AK353" s="245"/>
      <c r="AL353" s="245"/>
      <c r="AM353" s="245"/>
      <c r="AN353" s="219"/>
      <c r="AO353" s="222"/>
      <c r="AP353" s="222"/>
      <c r="AQ353" s="222"/>
      <c r="AR353" s="223">
        <f>_xlfn.XLOOKUP(D353,'Modelling New'!$D:$D,'Modelling New'!$N:$N)</f>
        <v>130</v>
      </c>
      <c r="AS353" s="223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18">
        <f>Table13[[#This Row],[Date]]-DAY(Table13[[#This Row],[Date]])+1</f>
        <v>46082</v>
      </c>
      <c r="E354" s="9">
        <f t="shared" si="25"/>
        <v>31</v>
      </c>
      <c r="F354" s="188" t="str">
        <f>IFERROR(_xlfn.XLOOKUP($A354,Input_Raw!$A:$A,Input_Raw!$FC:$FC),"")</f>
        <v/>
      </c>
      <c r="G354" s="189" t="str">
        <f>IFERROR(_xlfn.XLOOKUP($A354,Input_Raw!$A:$A,Input_Raw!$CY:$CY),"")</f>
        <v/>
      </c>
      <c r="H354" s="189" t="str">
        <f>IFERROR(_xlfn.XLOOKUP($A354,Input_Raw!$A:$A,Input_Raw!$DA:$DA),"")</f>
        <v/>
      </c>
      <c r="I354" s="189" t="str">
        <f>IFERROR(_xlfn.XLOOKUP($A354,Input_Raw!$A:$A,Input_Raw!$CX:$CX),"")</f>
        <v/>
      </c>
      <c r="J354" s="189" t="str">
        <f>IFERROR(_xlfn.XLOOKUP($A354,Input_Raw!$A:$A,Input_Raw!$CZ:$CZ),"")</f>
        <v/>
      </c>
      <c r="K354" s="190" t="str">
        <f>IFERROR(_xlfn.XLOOKUP($A354,Input_Raw!$A:$A,Input_Raw!$DB:$DB),"")</f>
        <v/>
      </c>
      <c r="L354" s="190" t="str">
        <f>IFERROR(_xlfn.XLOOKUP($A354,Input_Raw!$A:$A,Input_Raw!$DC:$DC),"")</f>
        <v/>
      </c>
      <c r="M354" s="189" t="str">
        <f>IFERROR(_xlfn.XLOOKUP($A354,Input_Raw!$A:$A,Input_Raw!$DF:$DF),"")</f>
        <v/>
      </c>
      <c r="N354" s="189" t="str">
        <f>IFERROR(_xlfn.XLOOKUP($A354,Input_Raw!$A:$A,Input_Raw!$DG:$DG),"")</f>
        <v/>
      </c>
      <c r="O354" s="219" t="str">
        <f>IFERROR(1-(SUMIF(Plant_BD!$B:$B,$A354,Plant_BD!$AL:$AL)/($AA354+SUMIF(Plant_BD!$B:$B,$A354,Plant_BD!$AL:$AL))),"")</f>
        <v/>
      </c>
      <c r="P354" s="219"/>
      <c r="Q354" s="220" t="str">
        <f>IFERROR(1-(SUMIF(Grid_BD!$B:$B,$A354,Grid_BD!$V:$V)/($AA354+SUMIF(Grid_BD!$B:$B,$A354,Grid_BD!$V:$V))),"")</f>
        <v/>
      </c>
      <c r="R354" s="219" t="str">
        <f>IFERROR(1-(SUMIF(Grid_BD!$B:$B,$A354,Grid_BD!$V:$V)/($AA354+SUMIF(Grid_BD!$B:$B,$A354,Grid_BD!$V:$V))),"")</f>
        <v/>
      </c>
      <c r="S354" s="9"/>
      <c r="T354" s="220"/>
      <c r="U354" s="221" t="str">
        <f t="shared" si="26"/>
        <v/>
      </c>
      <c r="V354" s="221" t="str">
        <f>IFERROR(_xlfn.XLOOKUP($A354,Input_Raw!$A:$A,Input_Raw!$FG:$FG),"")</f>
        <v/>
      </c>
      <c r="W354" s="222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78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22">
        <f>IFERROR(_xlfn.XLOOKUP($D354,'Modelling New'!$D:$D,'Modelling New'!O:O),"")</f>
        <v>0.80591076761496216</v>
      </c>
      <c r="AF354" s="222">
        <f>IFERROR(_xlfn.XLOOKUP($D354,'Modelling New'!$D:$D,'Modelling New'!W:W),"")</f>
        <v>0.23245759506743396</v>
      </c>
      <c r="AG354" s="222">
        <f>IFERROR(_xlfn.XLOOKUP($D354,'Modelling New'!$D:$D,'Modelling New'!AE:AE),"")</f>
        <v>0.995</v>
      </c>
      <c r="AH354" s="222">
        <f>IFERROR(_xlfn.XLOOKUP($D354,'Modelling New'!$D:$D,'Modelling New'!AF:AF),"")</f>
        <v>0.995</v>
      </c>
      <c r="AI354" s="9"/>
      <c r="AJ354" s="9"/>
      <c r="AK354" s="245"/>
      <c r="AL354" s="245"/>
      <c r="AM354" s="245"/>
      <c r="AN354" s="219"/>
      <c r="AO354" s="222"/>
      <c r="AP354" s="222"/>
      <c r="AQ354" s="222"/>
      <c r="AR354" s="223">
        <f>_xlfn.XLOOKUP(D354,'Modelling New'!$D:$D,'Modelling New'!$N:$N)</f>
        <v>130</v>
      </c>
      <c r="AS354" s="223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18">
        <f>Table13[[#This Row],[Date]]-DAY(Table13[[#This Row],[Date]])+1</f>
        <v>46082</v>
      </c>
      <c r="E355" s="9">
        <f t="shared" si="25"/>
        <v>31</v>
      </c>
      <c r="F355" s="188" t="str">
        <f>IFERROR(_xlfn.XLOOKUP($A355,Input_Raw!$A:$A,Input_Raw!$FC:$FC),"")</f>
        <v/>
      </c>
      <c r="G355" s="178" t="str">
        <f>IFERROR(_xlfn.XLOOKUP($A355,Input_Raw!$A:$A,Input_Raw!$CY:$CY),"")</f>
        <v/>
      </c>
      <c r="H355" s="178" t="str">
        <f>IFERROR(_xlfn.XLOOKUP($A355,Input_Raw!$A:$A,Input_Raw!$DA:$DA),"")</f>
        <v/>
      </c>
      <c r="I355" s="178" t="str">
        <f>IFERROR(_xlfn.XLOOKUP($A355,Input_Raw!$A:$A,Input_Raw!$CX:$CX),"")</f>
        <v/>
      </c>
      <c r="J355" s="178" t="str">
        <f>IFERROR(_xlfn.XLOOKUP($A355,Input_Raw!$A:$A,Input_Raw!$CZ:$CZ),"")</f>
        <v/>
      </c>
      <c r="K355" s="190" t="str">
        <f>IFERROR(_xlfn.XLOOKUP($A355,Input_Raw!$A:$A,Input_Raw!$DB:$DB),"")</f>
        <v/>
      </c>
      <c r="L355" s="190" t="str">
        <f>IFERROR(_xlfn.XLOOKUP($A355,Input_Raw!$A:$A,Input_Raw!$DC:$DC),"")</f>
        <v/>
      </c>
      <c r="M355" s="189" t="str">
        <f>IFERROR(_xlfn.XLOOKUP($A355,Input_Raw!$A:$A,Input_Raw!$DF:$DF),"")</f>
        <v/>
      </c>
      <c r="N355" s="189" t="str">
        <f>IFERROR(_xlfn.XLOOKUP($A355,Input_Raw!$A:$A,Input_Raw!$DG:$DG),"")</f>
        <v/>
      </c>
      <c r="O355" s="219" t="str">
        <f>IFERROR(1-(SUMIF(Plant_BD!$B:$B,$A355,Plant_BD!$AL:$AL)/($AA355+SUMIF(Plant_BD!$B:$B,$A355,Plant_BD!$AL:$AL))),"")</f>
        <v/>
      </c>
      <c r="P355" s="219"/>
      <c r="Q355" s="220" t="str">
        <f>IFERROR(1-(SUMIF(Grid_BD!$B:$B,$A355,Grid_BD!$V:$V)/($AA355+SUMIF(Grid_BD!$B:$B,$A355,Grid_BD!$V:$V))),"")</f>
        <v/>
      </c>
      <c r="R355" s="219" t="str">
        <f>IFERROR(1-(SUMIF(Grid_BD!$B:$B,$A355,Grid_BD!$V:$V)/($AA355+SUMIF(Grid_BD!$B:$B,$A355,Grid_BD!$V:$V))),"")</f>
        <v/>
      </c>
      <c r="S355" s="9"/>
      <c r="T355" s="220"/>
      <c r="U355" s="221" t="str">
        <f t="shared" si="26"/>
        <v/>
      </c>
      <c r="V355" s="221" t="str">
        <f>IFERROR(_xlfn.XLOOKUP($A355,Input_Raw!$A:$A,Input_Raw!$FG:$FG),"")</f>
        <v/>
      </c>
      <c r="W355" s="222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78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22">
        <f>IFERROR(_xlfn.XLOOKUP($D355,'Modelling New'!$D:$D,'Modelling New'!O:O),"")</f>
        <v>0.80591076761496216</v>
      </c>
      <c r="AF355" s="222">
        <f>IFERROR(_xlfn.XLOOKUP($D355,'Modelling New'!$D:$D,'Modelling New'!W:W),"")</f>
        <v>0.23245759506743396</v>
      </c>
      <c r="AG355" s="222">
        <f>IFERROR(_xlfn.XLOOKUP($D355,'Modelling New'!$D:$D,'Modelling New'!AE:AE),"")</f>
        <v>0.995</v>
      </c>
      <c r="AH355" s="222">
        <f>IFERROR(_xlfn.XLOOKUP($D355,'Modelling New'!$D:$D,'Modelling New'!AF:AF),"")</f>
        <v>0.995</v>
      </c>
      <c r="AI355" s="9"/>
      <c r="AJ355" s="9"/>
      <c r="AK355" s="245"/>
      <c r="AL355" s="245"/>
      <c r="AM355" s="245"/>
      <c r="AN355" s="219"/>
      <c r="AO355" s="222"/>
      <c r="AP355" s="222"/>
      <c r="AQ355" s="222"/>
      <c r="AR355" s="223">
        <f>_xlfn.XLOOKUP(D355,'Modelling New'!$D:$D,'Modelling New'!$N:$N)</f>
        <v>130</v>
      </c>
      <c r="AS355" s="223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18">
        <f>Table13[[#This Row],[Date]]-DAY(Table13[[#This Row],[Date]])+1</f>
        <v>46082</v>
      </c>
      <c r="E356" s="9">
        <f t="shared" si="25"/>
        <v>31</v>
      </c>
      <c r="F356" s="188" t="str">
        <f>IFERROR(_xlfn.XLOOKUP($A356,Input_Raw!$A:$A,Input_Raw!$FC:$FC),"")</f>
        <v/>
      </c>
      <c r="G356" s="189" t="str">
        <f>IFERROR(_xlfn.XLOOKUP($A356,Input_Raw!$A:$A,Input_Raw!$CY:$CY),"")</f>
        <v/>
      </c>
      <c r="H356" s="189" t="str">
        <f>IFERROR(_xlfn.XLOOKUP($A356,Input_Raw!$A:$A,Input_Raw!$DA:$DA),"")</f>
        <v/>
      </c>
      <c r="I356" s="189" t="str">
        <f>IFERROR(_xlfn.XLOOKUP($A356,Input_Raw!$A:$A,Input_Raw!$CX:$CX),"")</f>
        <v/>
      </c>
      <c r="J356" s="189" t="str">
        <f>IFERROR(_xlfn.XLOOKUP($A356,Input_Raw!$A:$A,Input_Raw!$CZ:$CZ),"")</f>
        <v/>
      </c>
      <c r="K356" s="190" t="str">
        <f>IFERROR(_xlfn.XLOOKUP($A356,Input_Raw!$A:$A,Input_Raw!$DB:$DB),"")</f>
        <v/>
      </c>
      <c r="L356" s="190" t="str">
        <f>IFERROR(_xlfn.XLOOKUP($A356,Input_Raw!$A:$A,Input_Raw!$DC:$DC),"")</f>
        <v/>
      </c>
      <c r="M356" s="189" t="str">
        <f>IFERROR(_xlfn.XLOOKUP($A356,Input_Raw!$A:$A,Input_Raw!$DF:$DF),"")</f>
        <v/>
      </c>
      <c r="N356" s="189" t="str">
        <f>IFERROR(_xlfn.XLOOKUP($A356,Input_Raw!$A:$A,Input_Raw!$DG:$DG),"")</f>
        <v/>
      </c>
      <c r="O356" s="219" t="str">
        <f>IFERROR(1-(SUMIF(Plant_BD!$B:$B,$A356,Plant_BD!$AL:$AL)/($AA356+SUMIF(Plant_BD!$B:$B,$A356,Plant_BD!$AL:$AL))),"")</f>
        <v/>
      </c>
      <c r="P356" s="219"/>
      <c r="Q356" s="220" t="str">
        <f>IFERROR(1-(SUMIF(Grid_BD!$B:$B,$A356,Grid_BD!$V:$V)/($AA356+SUMIF(Grid_BD!$B:$B,$A356,Grid_BD!$V:$V))),"")</f>
        <v/>
      </c>
      <c r="R356" s="219" t="str">
        <f>IFERROR(1-(SUMIF(Grid_BD!$B:$B,$A356,Grid_BD!$V:$V)/($AA356+SUMIF(Grid_BD!$B:$B,$A356,Grid_BD!$V:$V))),"")</f>
        <v/>
      </c>
      <c r="S356" s="9"/>
      <c r="T356" s="220"/>
      <c r="U356" s="221" t="str">
        <f t="shared" si="26"/>
        <v/>
      </c>
      <c r="V356" s="221" t="str">
        <f>IFERROR(_xlfn.XLOOKUP($A356,Input_Raw!$A:$A,Input_Raw!$FG:$FG),"")</f>
        <v/>
      </c>
      <c r="W356" s="222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78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22">
        <f>IFERROR(_xlfn.XLOOKUP($D356,'Modelling New'!$D:$D,'Modelling New'!O:O),"")</f>
        <v>0.80591076761496216</v>
      </c>
      <c r="AF356" s="222">
        <f>IFERROR(_xlfn.XLOOKUP($D356,'Modelling New'!$D:$D,'Modelling New'!W:W),"")</f>
        <v>0.23245759506743396</v>
      </c>
      <c r="AG356" s="222">
        <f>IFERROR(_xlfn.XLOOKUP($D356,'Modelling New'!$D:$D,'Modelling New'!AE:AE),"")</f>
        <v>0.995</v>
      </c>
      <c r="AH356" s="222">
        <f>IFERROR(_xlfn.XLOOKUP($D356,'Modelling New'!$D:$D,'Modelling New'!AF:AF),"")</f>
        <v>0.995</v>
      </c>
      <c r="AI356" s="9"/>
      <c r="AJ356" s="9"/>
      <c r="AK356" s="245"/>
      <c r="AL356" s="245"/>
      <c r="AM356" s="245"/>
      <c r="AN356" s="219"/>
      <c r="AO356" s="222"/>
      <c r="AP356" s="222"/>
      <c r="AQ356" s="222"/>
      <c r="AR356" s="223">
        <f>_xlfn.XLOOKUP(D356,'Modelling New'!$D:$D,'Modelling New'!$N:$N)</f>
        <v>130</v>
      </c>
      <c r="AS356" s="223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18">
        <f>Table13[[#This Row],[Date]]-DAY(Table13[[#This Row],[Date]])+1</f>
        <v>46082</v>
      </c>
      <c r="E357" s="9">
        <f t="shared" si="25"/>
        <v>31</v>
      </c>
      <c r="F357" s="188" t="str">
        <f>IFERROR(_xlfn.XLOOKUP($A357,Input_Raw!$A:$A,Input_Raw!$FC:$FC),"")</f>
        <v/>
      </c>
      <c r="G357" s="178" t="str">
        <f>IFERROR(_xlfn.XLOOKUP($A357,Input_Raw!$A:$A,Input_Raw!$CY:$CY),"")</f>
        <v/>
      </c>
      <c r="H357" s="178" t="str">
        <f>IFERROR(_xlfn.XLOOKUP($A357,Input_Raw!$A:$A,Input_Raw!$DA:$DA),"")</f>
        <v/>
      </c>
      <c r="I357" s="178" t="str">
        <f>IFERROR(_xlfn.XLOOKUP($A357,Input_Raw!$A:$A,Input_Raw!$CX:$CX),"")</f>
        <v/>
      </c>
      <c r="J357" s="178" t="str">
        <f>IFERROR(_xlfn.XLOOKUP($A357,Input_Raw!$A:$A,Input_Raw!$CZ:$CZ),"")</f>
        <v/>
      </c>
      <c r="K357" s="190" t="str">
        <f>IFERROR(_xlfn.XLOOKUP($A357,Input_Raw!$A:$A,Input_Raw!$DB:$DB),"")</f>
        <v/>
      </c>
      <c r="L357" s="190" t="str">
        <f>IFERROR(_xlfn.XLOOKUP($A357,Input_Raw!$A:$A,Input_Raw!$DC:$DC),"")</f>
        <v/>
      </c>
      <c r="M357" s="189" t="str">
        <f>IFERROR(_xlfn.XLOOKUP($A357,Input_Raw!$A:$A,Input_Raw!$DF:$DF),"")</f>
        <v/>
      </c>
      <c r="N357" s="189" t="str">
        <f>IFERROR(_xlfn.XLOOKUP($A357,Input_Raw!$A:$A,Input_Raw!$DG:$DG),"")</f>
        <v/>
      </c>
      <c r="O357" s="219" t="str">
        <f>IFERROR(1-(SUMIF(Plant_BD!$B:$B,$A357,Plant_BD!$AL:$AL)/($AA357+SUMIF(Plant_BD!$B:$B,$A357,Plant_BD!$AL:$AL))),"")</f>
        <v/>
      </c>
      <c r="P357" s="219"/>
      <c r="Q357" s="220" t="str">
        <f>IFERROR(1-(SUMIF(Grid_BD!$B:$B,$A357,Grid_BD!$V:$V)/($AA357+SUMIF(Grid_BD!$B:$B,$A357,Grid_BD!$V:$V))),"")</f>
        <v/>
      </c>
      <c r="R357" s="219" t="str">
        <f>IFERROR(1-(SUMIF(Grid_BD!$B:$B,$A357,Grid_BD!$V:$V)/($AA357+SUMIF(Grid_BD!$B:$B,$A357,Grid_BD!$V:$V))),"")</f>
        <v/>
      </c>
      <c r="S357" s="9"/>
      <c r="T357" s="220"/>
      <c r="U357" s="221" t="str">
        <f t="shared" si="26"/>
        <v/>
      </c>
      <c r="V357" s="221" t="str">
        <f>IFERROR(_xlfn.XLOOKUP($A357,Input_Raw!$A:$A,Input_Raw!$FG:$FG),"")</f>
        <v/>
      </c>
      <c r="W357" s="222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78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22">
        <f>IFERROR(_xlfn.XLOOKUP($D357,'Modelling New'!$D:$D,'Modelling New'!O:O),"")</f>
        <v>0.80591076761496216</v>
      </c>
      <c r="AF357" s="222">
        <f>IFERROR(_xlfn.XLOOKUP($D357,'Modelling New'!$D:$D,'Modelling New'!W:W),"")</f>
        <v>0.23245759506743396</v>
      </c>
      <c r="AG357" s="222">
        <f>IFERROR(_xlfn.XLOOKUP($D357,'Modelling New'!$D:$D,'Modelling New'!AE:AE),"")</f>
        <v>0.995</v>
      </c>
      <c r="AH357" s="222">
        <f>IFERROR(_xlfn.XLOOKUP($D357,'Modelling New'!$D:$D,'Modelling New'!AF:AF),"")</f>
        <v>0.995</v>
      </c>
      <c r="AI357" s="9"/>
      <c r="AJ357" s="9"/>
      <c r="AK357" s="245"/>
      <c r="AL357" s="245"/>
      <c r="AM357" s="245"/>
      <c r="AN357" s="219"/>
      <c r="AO357" s="222"/>
      <c r="AP357" s="222"/>
      <c r="AQ357" s="222"/>
      <c r="AR357" s="223">
        <f>_xlfn.XLOOKUP(D357,'Modelling New'!$D:$D,'Modelling New'!$N:$N)</f>
        <v>130</v>
      </c>
      <c r="AS357" s="223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18">
        <f>Table13[[#This Row],[Date]]-DAY(Table13[[#This Row],[Date]])+1</f>
        <v>46082</v>
      </c>
      <c r="E358" s="9">
        <f t="shared" si="25"/>
        <v>31</v>
      </c>
      <c r="F358" s="188" t="str">
        <f>IFERROR(_xlfn.XLOOKUP($A358,Input_Raw!$A:$A,Input_Raw!$FC:$FC),"")</f>
        <v/>
      </c>
      <c r="G358" s="189" t="str">
        <f>IFERROR(_xlfn.XLOOKUP($A358,Input_Raw!$A:$A,Input_Raw!$CY:$CY),"")</f>
        <v/>
      </c>
      <c r="H358" s="189" t="str">
        <f>IFERROR(_xlfn.XLOOKUP($A358,Input_Raw!$A:$A,Input_Raw!$DA:$DA),"")</f>
        <v/>
      </c>
      <c r="I358" s="189" t="str">
        <f>IFERROR(_xlfn.XLOOKUP($A358,Input_Raw!$A:$A,Input_Raw!$CX:$CX),"")</f>
        <v/>
      </c>
      <c r="J358" s="189" t="str">
        <f>IFERROR(_xlfn.XLOOKUP($A358,Input_Raw!$A:$A,Input_Raw!$CZ:$CZ),"")</f>
        <v/>
      </c>
      <c r="K358" s="190" t="str">
        <f>IFERROR(_xlfn.XLOOKUP($A358,Input_Raw!$A:$A,Input_Raw!$DB:$DB),"")</f>
        <v/>
      </c>
      <c r="L358" s="190" t="str">
        <f>IFERROR(_xlfn.XLOOKUP($A358,Input_Raw!$A:$A,Input_Raw!$DC:$DC),"")</f>
        <v/>
      </c>
      <c r="M358" s="189" t="str">
        <f>IFERROR(_xlfn.XLOOKUP($A358,Input_Raw!$A:$A,Input_Raw!$DF:$DF),"")</f>
        <v/>
      </c>
      <c r="N358" s="189" t="str">
        <f>IFERROR(_xlfn.XLOOKUP($A358,Input_Raw!$A:$A,Input_Raw!$DG:$DG),"")</f>
        <v/>
      </c>
      <c r="O358" s="219" t="str">
        <f>IFERROR(1-(SUMIF(Plant_BD!$B:$B,$A358,Plant_BD!$AL:$AL)/($AA358+SUMIF(Plant_BD!$B:$B,$A358,Plant_BD!$AL:$AL))),"")</f>
        <v/>
      </c>
      <c r="P358" s="219"/>
      <c r="Q358" s="220" t="str">
        <f>IFERROR(1-(SUMIF(Grid_BD!$B:$B,$A358,Grid_BD!$V:$V)/($AA358+SUMIF(Grid_BD!$B:$B,$A358,Grid_BD!$V:$V))),"")</f>
        <v/>
      </c>
      <c r="R358" s="219" t="str">
        <f>IFERROR(1-(SUMIF(Grid_BD!$B:$B,$A358,Grid_BD!$V:$V)/($AA358+SUMIF(Grid_BD!$B:$B,$A358,Grid_BD!$V:$V))),"")</f>
        <v/>
      </c>
      <c r="S358" s="9"/>
      <c r="T358" s="220"/>
      <c r="U358" s="221" t="str">
        <f t="shared" si="26"/>
        <v/>
      </c>
      <c r="V358" s="221" t="str">
        <f>IFERROR(_xlfn.XLOOKUP($A358,Input_Raw!$A:$A,Input_Raw!$FG:$FG),"")</f>
        <v/>
      </c>
      <c r="W358" s="222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78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22">
        <f>IFERROR(_xlfn.XLOOKUP($D358,'Modelling New'!$D:$D,'Modelling New'!O:O),"")</f>
        <v>0.80591076761496216</v>
      </c>
      <c r="AF358" s="222">
        <f>IFERROR(_xlfn.XLOOKUP($D358,'Modelling New'!$D:$D,'Modelling New'!W:W),"")</f>
        <v>0.23245759506743396</v>
      </c>
      <c r="AG358" s="222">
        <f>IFERROR(_xlfn.XLOOKUP($D358,'Modelling New'!$D:$D,'Modelling New'!AE:AE),"")</f>
        <v>0.995</v>
      </c>
      <c r="AH358" s="222">
        <f>IFERROR(_xlfn.XLOOKUP($D358,'Modelling New'!$D:$D,'Modelling New'!AF:AF),"")</f>
        <v>0.995</v>
      </c>
      <c r="AI358" s="9"/>
      <c r="AJ358" s="9"/>
      <c r="AK358" s="245"/>
      <c r="AL358" s="245"/>
      <c r="AM358" s="245"/>
      <c r="AN358" s="219"/>
      <c r="AO358" s="222"/>
      <c r="AP358" s="222"/>
      <c r="AQ358" s="222"/>
      <c r="AR358" s="223">
        <f>_xlfn.XLOOKUP(D358,'Modelling New'!$D:$D,'Modelling New'!$N:$N)</f>
        <v>130</v>
      </c>
      <c r="AS358" s="223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18">
        <f>Table13[[#This Row],[Date]]-DAY(Table13[[#This Row],[Date]])+1</f>
        <v>46082</v>
      </c>
      <c r="E359" s="9">
        <f t="shared" si="25"/>
        <v>31</v>
      </c>
      <c r="F359" s="188" t="str">
        <f>IFERROR(_xlfn.XLOOKUP($A359,Input_Raw!$A:$A,Input_Raw!$FC:$FC),"")</f>
        <v/>
      </c>
      <c r="G359" s="178" t="str">
        <f>IFERROR(_xlfn.XLOOKUP($A359,Input_Raw!$A:$A,Input_Raw!$CY:$CY),"")</f>
        <v/>
      </c>
      <c r="H359" s="178" t="str">
        <f>IFERROR(_xlfn.XLOOKUP($A359,Input_Raw!$A:$A,Input_Raw!$DA:$DA),"")</f>
        <v/>
      </c>
      <c r="I359" s="178" t="str">
        <f>IFERROR(_xlfn.XLOOKUP($A359,Input_Raw!$A:$A,Input_Raw!$CX:$CX),"")</f>
        <v/>
      </c>
      <c r="J359" s="178" t="str">
        <f>IFERROR(_xlfn.XLOOKUP($A359,Input_Raw!$A:$A,Input_Raw!$CZ:$CZ),"")</f>
        <v/>
      </c>
      <c r="K359" s="190" t="str">
        <f>IFERROR(_xlfn.XLOOKUP($A359,Input_Raw!$A:$A,Input_Raw!$DB:$DB),"")</f>
        <v/>
      </c>
      <c r="L359" s="190" t="str">
        <f>IFERROR(_xlfn.XLOOKUP($A359,Input_Raw!$A:$A,Input_Raw!$DC:$DC),"")</f>
        <v/>
      </c>
      <c r="M359" s="189" t="str">
        <f>IFERROR(_xlfn.XLOOKUP($A359,Input_Raw!$A:$A,Input_Raw!$DF:$DF),"")</f>
        <v/>
      </c>
      <c r="N359" s="189" t="str">
        <f>IFERROR(_xlfn.XLOOKUP($A359,Input_Raw!$A:$A,Input_Raw!$DG:$DG),"")</f>
        <v/>
      </c>
      <c r="O359" s="219" t="str">
        <f>IFERROR(1-(SUMIF(Plant_BD!$B:$B,$A359,Plant_BD!$AL:$AL)/($AA359+SUMIF(Plant_BD!$B:$B,$A359,Plant_BD!$AL:$AL))),"")</f>
        <v/>
      </c>
      <c r="P359" s="219"/>
      <c r="Q359" s="220" t="str">
        <f>IFERROR(1-(SUMIF(Grid_BD!$B:$B,$A359,Grid_BD!$V:$V)/($AA359+SUMIF(Grid_BD!$B:$B,$A359,Grid_BD!$V:$V))),"")</f>
        <v/>
      </c>
      <c r="R359" s="219" t="str">
        <f>IFERROR(1-(SUMIF(Grid_BD!$B:$B,$A359,Grid_BD!$V:$V)/($AA359+SUMIF(Grid_BD!$B:$B,$A359,Grid_BD!$V:$V))),"")</f>
        <v/>
      </c>
      <c r="S359" s="9"/>
      <c r="T359" s="220"/>
      <c r="U359" s="221" t="str">
        <f t="shared" si="26"/>
        <v/>
      </c>
      <c r="V359" s="221" t="str">
        <f>IFERROR(_xlfn.XLOOKUP($A359,Input_Raw!$A:$A,Input_Raw!$FG:$FG),"")</f>
        <v/>
      </c>
      <c r="W359" s="222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78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22">
        <f>IFERROR(_xlfn.XLOOKUP($D359,'Modelling New'!$D:$D,'Modelling New'!O:O),"")</f>
        <v>0.80591076761496216</v>
      </c>
      <c r="AF359" s="222">
        <f>IFERROR(_xlfn.XLOOKUP($D359,'Modelling New'!$D:$D,'Modelling New'!W:W),"")</f>
        <v>0.23245759506743396</v>
      </c>
      <c r="AG359" s="222">
        <f>IFERROR(_xlfn.XLOOKUP($D359,'Modelling New'!$D:$D,'Modelling New'!AE:AE),"")</f>
        <v>0.995</v>
      </c>
      <c r="AH359" s="222">
        <f>IFERROR(_xlfn.XLOOKUP($D359,'Modelling New'!$D:$D,'Modelling New'!AF:AF),"")</f>
        <v>0.995</v>
      </c>
      <c r="AI359" s="9"/>
      <c r="AJ359" s="9"/>
      <c r="AK359" s="245"/>
      <c r="AL359" s="245"/>
      <c r="AM359" s="245"/>
      <c r="AN359" s="219"/>
      <c r="AO359" s="222"/>
      <c r="AP359" s="222"/>
      <c r="AQ359" s="222"/>
      <c r="AR359" s="223">
        <f>_xlfn.XLOOKUP(D359,'Modelling New'!$D:$D,'Modelling New'!$N:$N)</f>
        <v>130</v>
      </c>
      <c r="AS359" s="223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18">
        <f>Table13[[#This Row],[Date]]-DAY(Table13[[#This Row],[Date]])+1</f>
        <v>46082</v>
      </c>
      <c r="E360" s="9">
        <f t="shared" ref="E360:E369" si="30">DAY(EOMONTH(A360,0))</f>
        <v>31</v>
      </c>
      <c r="F360" s="188" t="str">
        <f>IFERROR(_xlfn.XLOOKUP($A360,Input_Raw!$A:$A,Input_Raw!$FC:$FC),"")</f>
        <v/>
      </c>
      <c r="G360" s="189" t="str">
        <f>IFERROR(_xlfn.XLOOKUP($A360,Input_Raw!$A:$A,Input_Raw!$CY:$CY),"")</f>
        <v/>
      </c>
      <c r="H360" s="189" t="str">
        <f>IFERROR(_xlfn.XLOOKUP($A360,Input_Raw!$A:$A,Input_Raw!$DA:$DA),"")</f>
        <v/>
      </c>
      <c r="I360" s="189" t="str">
        <f>IFERROR(_xlfn.XLOOKUP($A360,Input_Raw!$A:$A,Input_Raw!$CX:$CX),"")</f>
        <v/>
      </c>
      <c r="J360" s="189" t="str">
        <f>IFERROR(_xlfn.XLOOKUP($A360,Input_Raw!$A:$A,Input_Raw!$CZ:$CZ),"")</f>
        <v/>
      </c>
      <c r="K360" s="190" t="str">
        <f>IFERROR(_xlfn.XLOOKUP($A360,Input_Raw!$A:$A,Input_Raw!$DB:$DB),"")</f>
        <v/>
      </c>
      <c r="L360" s="190" t="str">
        <f>IFERROR(_xlfn.XLOOKUP($A360,Input_Raw!$A:$A,Input_Raw!$DC:$DC),"")</f>
        <v/>
      </c>
      <c r="M360" s="189" t="str">
        <f>IFERROR(_xlfn.XLOOKUP($A360,Input_Raw!$A:$A,Input_Raw!$DF:$DF),"")</f>
        <v/>
      </c>
      <c r="N360" s="189" t="str">
        <f>IFERROR(_xlfn.XLOOKUP($A360,Input_Raw!$A:$A,Input_Raw!$DG:$DG),"")</f>
        <v/>
      </c>
      <c r="O360" s="219" t="str">
        <f>IFERROR(1-(SUMIF(Plant_BD!$B:$B,$A360,Plant_BD!$AL:$AL)/($AA360+SUMIF(Plant_BD!$B:$B,$A360,Plant_BD!$AL:$AL))),"")</f>
        <v/>
      </c>
      <c r="P360" s="219"/>
      <c r="Q360" s="220" t="str">
        <f>IFERROR(1-(SUMIF(Grid_BD!$B:$B,$A360,Grid_BD!$V:$V)/($AA360+SUMIF(Grid_BD!$B:$B,$A360,Grid_BD!$V:$V))),"")</f>
        <v/>
      </c>
      <c r="R360" s="219" t="str">
        <f>IFERROR(1-(SUMIF(Grid_BD!$B:$B,$A360,Grid_BD!$V:$V)/($AA360+SUMIF(Grid_BD!$B:$B,$A360,Grid_BD!$V:$V))),"")</f>
        <v/>
      </c>
      <c r="S360" s="9"/>
      <c r="T360" s="220"/>
      <c r="U360" s="221" t="str">
        <f t="shared" ref="U360:U369" si="31">IFERROR(AA360/I360/AB360/1000,"")</f>
        <v/>
      </c>
      <c r="V360" s="221" t="str">
        <f>IFERROR(_xlfn.XLOOKUP($A360,Input_Raw!$A:$A,Input_Raw!$FG:$FG),"")</f>
        <v/>
      </c>
      <c r="W360" s="222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78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22">
        <f>IFERROR(_xlfn.XLOOKUP($D360,'Modelling New'!$D:$D,'Modelling New'!O:O),"")</f>
        <v>0.80591076761496216</v>
      </c>
      <c r="AF360" s="222">
        <f>IFERROR(_xlfn.XLOOKUP($D360,'Modelling New'!$D:$D,'Modelling New'!W:W),"")</f>
        <v>0.23245759506743396</v>
      </c>
      <c r="AG360" s="222">
        <f>IFERROR(_xlfn.XLOOKUP($D360,'Modelling New'!$D:$D,'Modelling New'!AE:AE),"")</f>
        <v>0.995</v>
      </c>
      <c r="AH360" s="222">
        <f>IFERROR(_xlfn.XLOOKUP($D360,'Modelling New'!$D:$D,'Modelling New'!AF:AF),"")</f>
        <v>0.995</v>
      </c>
      <c r="AI360" s="9"/>
      <c r="AJ360" s="9"/>
      <c r="AK360" s="245"/>
      <c r="AL360" s="245"/>
      <c r="AM360" s="245"/>
      <c r="AN360" s="219"/>
      <c r="AO360" s="222"/>
      <c r="AP360" s="222"/>
      <c r="AQ360" s="222"/>
      <c r="AR360" s="223">
        <f>_xlfn.XLOOKUP(D360,'Modelling New'!$D:$D,'Modelling New'!$N:$N)</f>
        <v>130</v>
      </c>
      <c r="AS360" s="223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18">
        <f>Table13[[#This Row],[Date]]-DAY(Table13[[#This Row],[Date]])+1</f>
        <v>46082</v>
      </c>
      <c r="E361" s="9">
        <f t="shared" si="30"/>
        <v>31</v>
      </c>
      <c r="F361" s="188" t="str">
        <f>IFERROR(_xlfn.XLOOKUP($A361,Input_Raw!$A:$A,Input_Raw!$FC:$FC),"")</f>
        <v/>
      </c>
      <c r="G361" s="178" t="str">
        <f>IFERROR(_xlfn.XLOOKUP($A361,Input_Raw!$A:$A,Input_Raw!$CY:$CY),"")</f>
        <v/>
      </c>
      <c r="H361" s="178" t="str">
        <f>IFERROR(_xlfn.XLOOKUP($A361,Input_Raw!$A:$A,Input_Raw!$DA:$DA),"")</f>
        <v/>
      </c>
      <c r="I361" s="178" t="str">
        <f>IFERROR(_xlfn.XLOOKUP($A361,Input_Raw!$A:$A,Input_Raw!$CX:$CX),"")</f>
        <v/>
      </c>
      <c r="J361" s="178" t="str">
        <f>IFERROR(_xlfn.XLOOKUP($A361,Input_Raw!$A:$A,Input_Raw!$CZ:$CZ),"")</f>
        <v/>
      </c>
      <c r="K361" s="190" t="str">
        <f>IFERROR(_xlfn.XLOOKUP($A361,Input_Raw!$A:$A,Input_Raw!$DB:$DB),"")</f>
        <v/>
      </c>
      <c r="L361" s="190" t="str">
        <f>IFERROR(_xlfn.XLOOKUP($A361,Input_Raw!$A:$A,Input_Raw!$DC:$DC),"")</f>
        <v/>
      </c>
      <c r="M361" s="189" t="str">
        <f>IFERROR(_xlfn.XLOOKUP($A361,Input_Raw!$A:$A,Input_Raw!$DF:$DF),"")</f>
        <v/>
      </c>
      <c r="N361" s="189" t="str">
        <f>IFERROR(_xlfn.XLOOKUP($A361,Input_Raw!$A:$A,Input_Raw!$DG:$DG),"")</f>
        <v/>
      </c>
      <c r="O361" s="219" t="str">
        <f>IFERROR(1-(SUMIF(Plant_BD!$B:$B,$A361,Plant_BD!$AL:$AL)/($AA361+SUMIF(Plant_BD!$B:$B,$A361,Plant_BD!$AL:$AL))),"")</f>
        <v/>
      </c>
      <c r="P361" s="219"/>
      <c r="Q361" s="220" t="str">
        <f>IFERROR(1-(SUMIF(Grid_BD!$B:$B,$A361,Grid_BD!$V:$V)/($AA361+SUMIF(Grid_BD!$B:$B,$A361,Grid_BD!$V:$V))),"")</f>
        <v/>
      </c>
      <c r="R361" s="219" t="str">
        <f>IFERROR(1-(SUMIF(Grid_BD!$B:$B,$A361,Grid_BD!$V:$V)/($AA361+SUMIF(Grid_BD!$B:$B,$A361,Grid_BD!$V:$V))),"")</f>
        <v/>
      </c>
      <c r="S361" s="9"/>
      <c r="T361" s="220"/>
      <c r="U361" s="221" t="str">
        <f t="shared" si="31"/>
        <v/>
      </c>
      <c r="V361" s="221" t="str">
        <f>IFERROR(_xlfn.XLOOKUP($A361,Input_Raw!$A:$A,Input_Raw!$FG:$FG),"")</f>
        <v/>
      </c>
      <c r="W361" s="222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78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22">
        <f>IFERROR(_xlfn.XLOOKUP($D361,'Modelling New'!$D:$D,'Modelling New'!O:O),"")</f>
        <v>0.80591076761496216</v>
      </c>
      <c r="AF361" s="222">
        <f>IFERROR(_xlfn.XLOOKUP($D361,'Modelling New'!$D:$D,'Modelling New'!W:W),"")</f>
        <v>0.23245759506743396</v>
      </c>
      <c r="AG361" s="222">
        <f>IFERROR(_xlfn.XLOOKUP($D361,'Modelling New'!$D:$D,'Modelling New'!AE:AE),"")</f>
        <v>0.995</v>
      </c>
      <c r="AH361" s="222">
        <f>IFERROR(_xlfn.XLOOKUP($D361,'Modelling New'!$D:$D,'Modelling New'!AF:AF),"")</f>
        <v>0.995</v>
      </c>
      <c r="AI361" s="9"/>
      <c r="AJ361" s="9"/>
      <c r="AK361" s="245"/>
      <c r="AL361" s="245"/>
      <c r="AM361" s="245"/>
      <c r="AN361" s="219"/>
      <c r="AO361" s="222"/>
      <c r="AP361" s="222"/>
      <c r="AQ361" s="222"/>
      <c r="AR361" s="223">
        <f>_xlfn.XLOOKUP(D361,'Modelling New'!$D:$D,'Modelling New'!$N:$N)</f>
        <v>130</v>
      </c>
      <c r="AS361" s="223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18">
        <f>Table13[[#This Row],[Date]]-DAY(Table13[[#This Row],[Date]])+1</f>
        <v>46082</v>
      </c>
      <c r="E362" s="9">
        <f t="shared" si="30"/>
        <v>31</v>
      </c>
      <c r="F362" s="188" t="str">
        <f>IFERROR(_xlfn.XLOOKUP($A362,Input_Raw!$A:$A,Input_Raw!$FC:$FC),"")</f>
        <v/>
      </c>
      <c r="G362" s="189" t="str">
        <f>IFERROR(_xlfn.XLOOKUP($A362,Input_Raw!$A:$A,Input_Raw!$CY:$CY),"")</f>
        <v/>
      </c>
      <c r="H362" s="189" t="str">
        <f>IFERROR(_xlfn.XLOOKUP($A362,Input_Raw!$A:$A,Input_Raw!$DA:$DA),"")</f>
        <v/>
      </c>
      <c r="I362" s="189" t="str">
        <f>IFERROR(_xlfn.XLOOKUP($A362,Input_Raw!$A:$A,Input_Raw!$CX:$CX),"")</f>
        <v/>
      </c>
      <c r="J362" s="189" t="str">
        <f>IFERROR(_xlfn.XLOOKUP($A362,Input_Raw!$A:$A,Input_Raw!$CZ:$CZ),"")</f>
        <v/>
      </c>
      <c r="K362" s="190" t="str">
        <f>IFERROR(_xlfn.XLOOKUP($A362,Input_Raw!$A:$A,Input_Raw!$DB:$DB),"")</f>
        <v/>
      </c>
      <c r="L362" s="190" t="str">
        <f>IFERROR(_xlfn.XLOOKUP($A362,Input_Raw!$A:$A,Input_Raw!$DC:$DC),"")</f>
        <v/>
      </c>
      <c r="M362" s="189" t="str">
        <f>IFERROR(_xlfn.XLOOKUP($A362,Input_Raw!$A:$A,Input_Raw!$DF:$DF),"")</f>
        <v/>
      </c>
      <c r="N362" s="189" t="str">
        <f>IFERROR(_xlfn.XLOOKUP($A362,Input_Raw!$A:$A,Input_Raw!$DG:$DG),"")</f>
        <v/>
      </c>
      <c r="O362" s="219" t="str">
        <f>IFERROR(1-(SUMIF(Plant_BD!$B:$B,$A362,Plant_BD!$AL:$AL)/($AA362+SUMIF(Plant_BD!$B:$B,$A362,Plant_BD!$AL:$AL))),"")</f>
        <v/>
      </c>
      <c r="P362" s="219"/>
      <c r="Q362" s="220" t="str">
        <f>IFERROR(1-(SUMIF(Grid_BD!$B:$B,$A362,Grid_BD!$V:$V)/($AA362+SUMIF(Grid_BD!$B:$B,$A362,Grid_BD!$V:$V))),"")</f>
        <v/>
      </c>
      <c r="R362" s="219" t="str">
        <f>IFERROR(1-(SUMIF(Grid_BD!$B:$B,$A362,Grid_BD!$V:$V)/($AA362+SUMIF(Grid_BD!$B:$B,$A362,Grid_BD!$V:$V))),"")</f>
        <v/>
      </c>
      <c r="S362" s="9"/>
      <c r="T362" s="220"/>
      <c r="U362" s="221" t="str">
        <f t="shared" si="31"/>
        <v/>
      </c>
      <c r="V362" s="221" t="str">
        <f>IFERROR(_xlfn.XLOOKUP($A362,Input_Raw!$A:$A,Input_Raw!$FG:$FG),"")</f>
        <v/>
      </c>
      <c r="W362" s="222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78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22">
        <f>IFERROR(_xlfn.XLOOKUP($D362,'Modelling New'!$D:$D,'Modelling New'!O:O),"")</f>
        <v>0.80591076761496216</v>
      </c>
      <c r="AF362" s="222">
        <f>IFERROR(_xlfn.XLOOKUP($D362,'Modelling New'!$D:$D,'Modelling New'!W:W),"")</f>
        <v>0.23245759506743396</v>
      </c>
      <c r="AG362" s="222">
        <f>IFERROR(_xlfn.XLOOKUP($D362,'Modelling New'!$D:$D,'Modelling New'!AE:AE),"")</f>
        <v>0.995</v>
      </c>
      <c r="AH362" s="222">
        <f>IFERROR(_xlfn.XLOOKUP($D362,'Modelling New'!$D:$D,'Modelling New'!AF:AF),"")</f>
        <v>0.995</v>
      </c>
      <c r="AI362" s="9"/>
      <c r="AJ362" s="9"/>
      <c r="AK362" s="245"/>
      <c r="AL362" s="245"/>
      <c r="AM362" s="245"/>
      <c r="AN362" s="219"/>
      <c r="AO362" s="222"/>
      <c r="AP362" s="222"/>
      <c r="AQ362" s="222"/>
      <c r="AR362" s="223">
        <f>_xlfn.XLOOKUP(D362,'Modelling New'!$D:$D,'Modelling New'!$N:$N)</f>
        <v>130</v>
      </c>
      <c r="AS362" s="223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18">
        <f>Table13[[#This Row],[Date]]-DAY(Table13[[#This Row],[Date]])+1</f>
        <v>46082</v>
      </c>
      <c r="E363" s="9">
        <f t="shared" si="30"/>
        <v>31</v>
      </c>
      <c r="F363" s="188" t="str">
        <f>IFERROR(_xlfn.XLOOKUP($A363,Input_Raw!$A:$A,Input_Raw!$FC:$FC),"")</f>
        <v/>
      </c>
      <c r="G363" s="178" t="str">
        <f>IFERROR(_xlfn.XLOOKUP($A363,Input_Raw!$A:$A,Input_Raw!$CY:$CY),"")</f>
        <v/>
      </c>
      <c r="H363" s="178" t="str">
        <f>IFERROR(_xlfn.XLOOKUP($A363,Input_Raw!$A:$A,Input_Raw!$DA:$DA),"")</f>
        <v/>
      </c>
      <c r="I363" s="178" t="str">
        <f>IFERROR(_xlfn.XLOOKUP($A363,Input_Raw!$A:$A,Input_Raw!$CX:$CX),"")</f>
        <v/>
      </c>
      <c r="J363" s="178" t="str">
        <f>IFERROR(_xlfn.XLOOKUP($A363,Input_Raw!$A:$A,Input_Raw!$CZ:$CZ),"")</f>
        <v/>
      </c>
      <c r="K363" s="190" t="str">
        <f>IFERROR(_xlfn.XLOOKUP($A363,Input_Raw!$A:$A,Input_Raw!$DB:$DB),"")</f>
        <v/>
      </c>
      <c r="L363" s="190" t="str">
        <f>IFERROR(_xlfn.XLOOKUP($A363,Input_Raw!$A:$A,Input_Raw!$DC:$DC),"")</f>
        <v/>
      </c>
      <c r="M363" s="189" t="str">
        <f>IFERROR(_xlfn.XLOOKUP($A363,Input_Raw!$A:$A,Input_Raw!$DF:$DF),"")</f>
        <v/>
      </c>
      <c r="N363" s="189" t="str">
        <f>IFERROR(_xlfn.XLOOKUP($A363,Input_Raw!$A:$A,Input_Raw!$DG:$DG),"")</f>
        <v/>
      </c>
      <c r="O363" s="219" t="str">
        <f>IFERROR(1-(SUMIF(Plant_BD!$B:$B,$A363,Plant_BD!$AL:$AL)/($AA363+SUMIF(Plant_BD!$B:$B,$A363,Plant_BD!$AL:$AL))),"")</f>
        <v/>
      </c>
      <c r="P363" s="219"/>
      <c r="Q363" s="220" t="str">
        <f>IFERROR(1-(SUMIF(Grid_BD!$B:$B,$A363,Grid_BD!$V:$V)/($AA363+SUMIF(Grid_BD!$B:$B,$A363,Grid_BD!$V:$V))),"")</f>
        <v/>
      </c>
      <c r="R363" s="219" t="str">
        <f>IFERROR(1-(SUMIF(Grid_BD!$B:$B,$A363,Grid_BD!$V:$V)/($AA363+SUMIF(Grid_BD!$B:$B,$A363,Grid_BD!$V:$V))),"")</f>
        <v/>
      </c>
      <c r="S363" s="9"/>
      <c r="T363" s="220"/>
      <c r="U363" s="221" t="str">
        <f t="shared" si="31"/>
        <v/>
      </c>
      <c r="V363" s="221" t="str">
        <f>IFERROR(_xlfn.XLOOKUP($A363,Input_Raw!$A:$A,Input_Raw!$FG:$FG),"")</f>
        <v/>
      </c>
      <c r="W363" s="222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78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22">
        <f>IFERROR(_xlfn.XLOOKUP($D363,'Modelling New'!$D:$D,'Modelling New'!O:O),"")</f>
        <v>0.80591076761496216</v>
      </c>
      <c r="AF363" s="222">
        <f>IFERROR(_xlfn.XLOOKUP($D363,'Modelling New'!$D:$D,'Modelling New'!W:W),"")</f>
        <v>0.23245759506743396</v>
      </c>
      <c r="AG363" s="222">
        <f>IFERROR(_xlfn.XLOOKUP($D363,'Modelling New'!$D:$D,'Modelling New'!AE:AE),"")</f>
        <v>0.995</v>
      </c>
      <c r="AH363" s="222">
        <f>IFERROR(_xlfn.XLOOKUP($D363,'Modelling New'!$D:$D,'Modelling New'!AF:AF),"")</f>
        <v>0.995</v>
      </c>
      <c r="AI363" s="9"/>
      <c r="AJ363" s="9"/>
      <c r="AK363" s="245"/>
      <c r="AL363" s="245"/>
      <c r="AM363" s="245"/>
      <c r="AN363" s="219"/>
      <c r="AO363" s="222"/>
      <c r="AP363" s="222"/>
      <c r="AQ363" s="222"/>
      <c r="AR363" s="223">
        <f>_xlfn.XLOOKUP(D363,'Modelling New'!$D:$D,'Modelling New'!$N:$N)</f>
        <v>130</v>
      </c>
      <c r="AS363" s="223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18">
        <f>Table13[[#This Row],[Date]]-DAY(Table13[[#This Row],[Date]])+1</f>
        <v>46082</v>
      </c>
      <c r="E364" s="9">
        <f t="shared" si="30"/>
        <v>31</v>
      </c>
      <c r="F364" s="188" t="str">
        <f>IFERROR(_xlfn.XLOOKUP($A364,Input_Raw!$A:$A,Input_Raw!$FC:$FC),"")</f>
        <v/>
      </c>
      <c r="G364" s="189" t="str">
        <f>IFERROR(_xlfn.XLOOKUP($A364,Input_Raw!$A:$A,Input_Raw!$CY:$CY),"")</f>
        <v/>
      </c>
      <c r="H364" s="189" t="str">
        <f>IFERROR(_xlfn.XLOOKUP($A364,Input_Raw!$A:$A,Input_Raw!$DA:$DA),"")</f>
        <v/>
      </c>
      <c r="I364" s="189" t="str">
        <f>IFERROR(_xlfn.XLOOKUP($A364,Input_Raw!$A:$A,Input_Raw!$CX:$CX),"")</f>
        <v/>
      </c>
      <c r="J364" s="189" t="str">
        <f>IFERROR(_xlfn.XLOOKUP($A364,Input_Raw!$A:$A,Input_Raw!$CZ:$CZ),"")</f>
        <v/>
      </c>
      <c r="K364" s="190" t="str">
        <f>IFERROR(_xlfn.XLOOKUP($A364,Input_Raw!$A:$A,Input_Raw!$DB:$DB),"")</f>
        <v/>
      </c>
      <c r="L364" s="190" t="str">
        <f>IFERROR(_xlfn.XLOOKUP($A364,Input_Raw!$A:$A,Input_Raw!$DC:$DC),"")</f>
        <v/>
      </c>
      <c r="M364" s="189" t="str">
        <f>IFERROR(_xlfn.XLOOKUP($A364,Input_Raw!$A:$A,Input_Raw!$DF:$DF),"")</f>
        <v/>
      </c>
      <c r="N364" s="189" t="str">
        <f>IFERROR(_xlfn.XLOOKUP($A364,Input_Raw!$A:$A,Input_Raw!$DG:$DG),"")</f>
        <v/>
      </c>
      <c r="O364" s="219" t="str">
        <f>IFERROR(1-(SUMIF(Plant_BD!$B:$B,$A364,Plant_BD!$AL:$AL)/($AA364+SUMIF(Plant_BD!$B:$B,$A364,Plant_BD!$AL:$AL))),"")</f>
        <v/>
      </c>
      <c r="P364" s="219"/>
      <c r="Q364" s="220" t="str">
        <f>IFERROR(1-(SUMIF(Grid_BD!$B:$B,$A364,Grid_BD!$V:$V)/($AA364+SUMIF(Grid_BD!$B:$B,$A364,Grid_BD!$V:$V))),"")</f>
        <v/>
      </c>
      <c r="R364" s="219" t="str">
        <f>IFERROR(1-(SUMIF(Grid_BD!$B:$B,$A364,Grid_BD!$V:$V)/($AA364+SUMIF(Grid_BD!$B:$B,$A364,Grid_BD!$V:$V))),"")</f>
        <v/>
      </c>
      <c r="S364" s="9"/>
      <c r="T364" s="220"/>
      <c r="U364" s="221" t="str">
        <f t="shared" si="31"/>
        <v/>
      </c>
      <c r="V364" s="221" t="str">
        <f>IFERROR(_xlfn.XLOOKUP($A364,Input_Raw!$A:$A,Input_Raw!$FG:$FG),"")</f>
        <v/>
      </c>
      <c r="W364" s="222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78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22">
        <f>IFERROR(_xlfn.XLOOKUP($D364,'Modelling New'!$D:$D,'Modelling New'!O:O),"")</f>
        <v>0.80591076761496216</v>
      </c>
      <c r="AF364" s="222">
        <f>IFERROR(_xlfn.XLOOKUP($D364,'Modelling New'!$D:$D,'Modelling New'!W:W),"")</f>
        <v>0.23245759506743396</v>
      </c>
      <c r="AG364" s="222">
        <f>IFERROR(_xlfn.XLOOKUP($D364,'Modelling New'!$D:$D,'Modelling New'!AE:AE),"")</f>
        <v>0.995</v>
      </c>
      <c r="AH364" s="222">
        <f>IFERROR(_xlfn.XLOOKUP($D364,'Modelling New'!$D:$D,'Modelling New'!AF:AF),"")</f>
        <v>0.995</v>
      </c>
      <c r="AI364" s="9"/>
      <c r="AJ364" s="9"/>
      <c r="AK364" s="245"/>
      <c r="AL364" s="245"/>
      <c r="AM364" s="245"/>
      <c r="AN364" s="219"/>
      <c r="AO364" s="222"/>
      <c r="AP364" s="222"/>
      <c r="AQ364" s="222"/>
      <c r="AR364" s="223">
        <f>_xlfn.XLOOKUP(D364,'Modelling New'!$D:$D,'Modelling New'!$N:$N)</f>
        <v>130</v>
      </c>
      <c r="AS364" s="223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18">
        <f>Table13[[#This Row],[Date]]-DAY(Table13[[#This Row],[Date]])+1</f>
        <v>46082</v>
      </c>
      <c r="E365" s="9">
        <f t="shared" si="30"/>
        <v>31</v>
      </c>
      <c r="F365" s="188" t="str">
        <f>IFERROR(_xlfn.XLOOKUP($A365,Input_Raw!$A:$A,Input_Raw!$FC:$FC),"")</f>
        <v/>
      </c>
      <c r="G365" s="178" t="str">
        <f>IFERROR(_xlfn.XLOOKUP($A365,Input_Raw!$A:$A,Input_Raw!$CY:$CY),"")</f>
        <v/>
      </c>
      <c r="H365" s="178" t="str">
        <f>IFERROR(_xlfn.XLOOKUP($A365,Input_Raw!$A:$A,Input_Raw!$DA:$DA),"")</f>
        <v/>
      </c>
      <c r="I365" s="178" t="str">
        <f>IFERROR(_xlfn.XLOOKUP($A365,Input_Raw!$A:$A,Input_Raw!$CX:$CX),"")</f>
        <v/>
      </c>
      <c r="J365" s="178" t="str">
        <f>IFERROR(_xlfn.XLOOKUP($A365,Input_Raw!$A:$A,Input_Raw!$CZ:$CZ),"")</f>
        <v/>
      </c>
      <c r="K365" s="190" t="str">
        <f>IFERROR(_xlfn.XLOOKUP($A365,Input_Raw!$A:$A,Input_Raw!$DB:$DB),"")</f>
        <v/>
      </c>
      <c r="L365" s="190" t="str">
        <f>IFERROR(_xlfn.XLOOKUP($A365,Input_Raw!$A:$A,Input_Raw!$DC:$DC),"")</f>
        <v/>
      </c>
      <c r="M365" s="189" t="str">
        <f>IFERROR(_xlfn.XLOOKUP($A365,Input_Raw!$A:$A,Input_Raw!$DF:$DF),"")</f>
        <v/>
      </c>
      <c r="N365" s="189" t="str">
        <f>IFERROR(_xlfn.XLOOKUP($A365,Input_Raw!$A:$A,Input_Raw!$DG:$DG),"")</f>
        <v/>
      </c>
      <c r="O365" s="219" t="str">
        <f>IFERROR(1-(SUMIF(Plant_BD!$B:$B,$A365,Plant_BD!$AL:$AL)/($AA365+SUMIF(Plant_BD!$B:$B,$A365,Plant_BD!$AL:$AL))),"")</f>
        <v/>
      </c>
      <c r="P365" s="219"/>
      <c r="Q365" s="220" t="str">
        <f>IFERROR(1-(SUMIF(Grid_BD!$B:$B,$A365,Grid_BD!$V:$V)/($AA365+SUMIF(Grid_BD!$B:$B,$A365,Grid_BD!$V:$V))),"")</f>
        <v/>
      </c>
      <c r="R365" s="219" t="str">
        <f>IFERROR(1-(SUMIF(Grid_BD!$B:$B,$A365,Grid_BD!$V:$V)/($AA365+SUMIF(Grid_BD!$B:$B,$A365,Grid_BD!$V:$V))),"")</f>
        <v/>
      </c>
      <c r="S365" s="9"/>
      <c r="T365" s="220"/>
      <c r="U365" s="221" t="str">
        <f t="shared" si="31"/>
        <v/>
      </c>
      <c r="V365" s="221" t="str">
        <f>IFERROR(_xlfn.XLOOKUP($A365,Input_Raw!$A:$A,Input_Raw!$FG:$FG),"")</f>
        <v/>
      </c>
      <c r="W365" s="222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78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22">
        <f>IFERROR(_xlfn.XLOOKUP($D365,'Modelling New'!$D:$D,'Modelling New'!O:O),"")</f>
        <v>0.80591076761496216</v>
      </c>
      <c r="AF365" s="222">
        <f>IFERROR(_xlfn.XLOOKUP($D365,'Modelling New'!$D:$D,'Modelling New'!W:W),"")</f>
        <v>0.23245759506743396</v>
      </c>
      <c r="AG365" s="222">
        <f>IFERROR(_xlfn.XLOOKUP($D365,'Modelling New'!$D:$D,'Modelling New'!AE:AE),"")</f>
        <v>0.995</v>
      </c>
      <c r="AH365" s="222">
        <f>IFERROR(_xlfn.XLOOKUP($D365,'Modelling New'!$D:$D,'Modelling New'!AF:AF),"")</f>
        <v>0.995</v>
      </c>
      <c r="AI365" s="9"/>
      <c r="AJ365" s="9"/>
      <c r="AK365" s="245"/>
      <c r="AL365" s="245"/>
      <c r="AM365" s="245"/>
      <c r="AN365" s="219"/>
      <c r="AO365" s="222"/>
      <c r="AP365" s="222"/>
      <c r="AQ365" s="222"/>
      <c r="AR365" s="223">
        <f>_xlfn.XLOOKUP(D365,'Modelling New'!$D:$D,'Modelling New'!$N:$N)</f>
        <v>130</v>
      </c>
      <c r="AS365" s="223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18">
        <f>Table13[[#This Row],[Date]]-DAY(Table13[[#This Row],[Date]])+1</f>
        <v>46082</v>
      </c>
      <c r="E366" s="9">
        <f t="shared" si="30"/>
        <v>31</v>
      </c>
      <c r="F366" s="188" t="str">
        <f>IFERROR(_xlfn.XLOOKUP($A366,Input_Raw!$A:$A,Input_Raw!$FC:$FC),"")</f>
        <v/>
      </c>
      <c r="G366" s="189" t="str">
        <f>IFERROR(_xlfn.XLOOKUP($A366,Input_Raw!$A:$A,Input_Raw!$CY:$CY),"")</f>
        <v/>
      </c>
      <c r="H366" s="189" t="str">
        <f>IFERROR(_xlfn.XLOOKUP($A366,Input_Raw!$A:$A,Input_Raw!$DA:$DA),"")</f>
        <v/>
      </c>
      <c r="I366" s="189" t="str">
        <f>IFERROR(_xlfn.XLOOKUP($A366,Input_Raw!$A:$A,Input_Raw!$CX:$CX),"")</f>
        <v/>
      </c>
      <c r="J366" s="189" t="str">
        <f>IFERROR(_xlfn.XLOOKUP($A366,Input_Raw!$A:$A,Input_Raw!$CZ:$CZ),"")</f>
        <v/>
      </c>
      <c r="K366" s="190" t="str">
        <f>IFERROR(_xlfn.XLOOKUP($A366,Input_Raw!$A:$A,Input_Raw!$DB:$DB),"")</f>
        <v/>
      </c>
      <c r="L366" s="190" t="str">
        <f>IFERROR(_xlfn.XLOOKUP($A366,Input_Raw!$A:$A,Input_Raw!$DC:$DC),"")</f>
        <v/>
      </c>
      <c r="M366" s="189" t="str">
        <f>IFERROR(_xlfn.XLOOKUP($A366,Input_Raw!$A:$A,Input_Raw!$DF:$DF),"")</f>
        <v/>
      </c>
      <c r="N366" s="189" t="str">
        <f>IFERROR(_xlfn.XLOOKUP($A366,Input_Raw!$A:$A,Input_Raw!$DG:$DG),"")</f>
        <v/>
      </c>
      <c r="O366" s="219" t="str">
        <f>IFERROR(1-(SUMIF(Plant_BD!$B:$B,$A366,Plant_BD!$AL:$AL)/($AA366+SUMIF(Plant_BD!$B:$B,$A366,Plant_BD!$AL:$AL))),"")</f>
        <v/>
      </c>
      <c r="P366" s="219"/>
      <c r="Q366" s="220" t="str">
        <f>IFERROR(1-(SUMIF(Grid_BD!$B:$B,$A366,Grid_BD!$V:$V)/($AA366+SUMIF(Grid_BD!$B:$B,$A366,Grid_BD!$V:$V))),"")</f>
        <v/>
      </c>
      <c r="R366" s="219" t="str">
        <f>IFERROR(1-(SUMIF(Grid_BD!$B:$B,$A366,Grid_BD!$V:$V)/($AA366+SUMIF(Grid_BD!$B:$B,$A366,Grid_BD!$V:$V))),"")</f>
        <v/>
      </c>
      <c r="S366" s="9"/>
      <c r="T366" s="220"/>
      <c r="U366" s="221" t="str">
        <f t="shared" si="31"/>
        <v/>
      </c>
      <c r="V366" s="221" t="str">
        <f>IFERROR(_xlfn.XLOOKUP($A366,Input_Raw!$A:$A,Input_Raw!$FG:$FG),"")</f>
        <v/>
      </c>
      <c r="W366" s="222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78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22">
        <f>IFERROR(_xlfn.XLOOKUP($D366,'Modelling New'!$D:$D,'Modelling New'!O:O),"")</f>
        <v>0.80591076761496216</v>
      </c>
      <c r="AF366" s="222">
        <f>IFERROR(_xlfn.XLOOKUP($D366,'Modelling New'!$D:$D,'Modelling New'!W:W),"")</f>
        <v>0.23245759506743396</v>
      </c>
      <c r="AG366" s="222">
        <f>IFERROR(_xlfn.XLOOKUP($D366,'Modelling New'!$D:$D,'Modelling New'!AE:AE),"")</f>
        <v>0.995</v>
      </c>
      <c r="AH366" s="222">
        <f>IFERROR(_xlfn.XLOOKUP($D366,'Modelling New'!$D:$D,'Modelling New'!AF:AF),"")</f>
        <v>0.995</v>
      </c>
      <c r="AI366" s="9"/>
      <c r="AJ366" s="9"/>
      <c r="AK366" s="245"/>
      <c r="AL366" s="245"/>
      <c r="AM366" s="245"/>
      <c r="AN366" s="219"/>
      <c r="AO366" s="222"/>
      <c r="AP366" s="222"/>
      <c r="AQ366" s="222"/>
      <c r="AR366" s="223">
        <f>_xlfn.XLOOKUP(D366,'Modelling New'!$D:$D,'Modelling New'!$N:$N)</f>
        <v>130</v>
      </c>
      <c r="AS366" s="223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18">
        <f>Table13[[#This Row],[Date]]-DAY(Table13[[#This Row],[Date]])+1</f>
        <v>46082</v>
      </c>
      <c r="E367" s="9">
        <f t="shared" si="30"/>
        <v>31</v>
      </c>
      <c r="F367" s="188" t="str">
        <f>IFERROR(_xlfn.XLOOKUP($A367,Input_Raw!$A:$A,Input_Raw!$FC:$FC),"")</f>
        <v/>
      </c>
      <c r="G367" s="178" t="str">
        <f>IFERROR(_xlfn.XLOOKUP($A367,Input_Raw!$A:$A,Input_Raw!$CY:$CY),"")</f>
        <v/>
      </c>
      <c r="H367" s="178" t="str">
        <f>IFERROR(_xlfn.XLOOKUP($A367,Input_Raw!$A:$A,Input_Raw!$DA:$DA),"")</f>
        <v/>
      </c>
      <c r="I367" s="178" t="str">
        <f>IFERROR(_xlfn.XLOOKUP($A367,Input_Raw!$A:$A,Input_Raw!$CX:$CX),"")</f>
        <v/>
      </c>
      <c r="J367" s="178" t="str">
        <f>IFERROR(_xlfn.XLOOKUP($A367,Input_Raw!$A:$A,Input_Raw!$CZ:$CZ),"")</f>
        <v/>
      </c>
      <c r="K367" s="190" t="str">
        <f>IFERROR(_xlfn.XLOOKUP($A367,Input_Raw!$A:$A,Input_Raw!$DB:$DB),"")</f>
        <v/>
      </c>
      <c r="L367" s="190" t="str">
        <f>IFERROR(_xlfn.XLOOKUP($A367,Input_Raw!$A:$A,Input_Raw!$DC:$DC),"")</f>
        <v/>
      </c>
      <c r="M367" s="189" t="str">
        <f>IFERROR(_xlfn.XLOOKUP($A367,Input_Raw!$A:$A,Input_Raw!$DF:$DF),"")</f>
        <v/>
      </c>
      <c r="N367" s="189" t="str">
        <f>IFERROR(_xlfn.XLOOKUP($A367,Input_Raw!$A:$A,Input_Raw!$DG:$DG),"")</f>
        <v/>
      </c>
      <c r="O367" s="219" t="str">
        <f>IFERROR(1-(SUMIF(Plant_BD!$B:$B,$A367,Plant_BD!$AL:$AL)/($AA367+SUMIF(Plant_BD!$B:$B,$A367,Plant_BD!$AL:$AL))),"")</f>
        <v/>
      </c>
      <c r="P367" s="219"/>
      <c r="Q367" s="220" t="str">
        <f>IFERROR(1-(SUMIF(Grid_BD!$B:$B,$A367,Grid_BD!$V:$V)/($AA367+SUMIF(Grid_BD!$B:$B,$A367,Grid_BD!$V:$V))),"")</f>
        <v/>
      </c>
      <c r="R367" s="219" t="str">
        <f>IFERROR(1-(SUMIF(Grid_BD!$B:$B,$A367,Grid_BD!$V:$V)/($AA367+SUMIF(Grid_BD!$B:$B,$A367,Grid_BD!$V:$V))),"")</f>
        <v/>
      </c>
      <c r="S367" s="9"/>
      <c r="T367" s="220"/>
      <c r="U367" s="221" t="str">
        <f t="shared" si="31"/>
        <v/>
      </c>
      <c r="V367" s="221" t="str">
        <f>IFERROR(_xlfn.XLOOKUP($A367,Input_Raw!$A:$A,Input_Raw!$FG:$FG),"")</f>
        <v/>
      </c>
      <c r="W367" s="222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78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22">
        <f>IFERROR(_xlfn.XLOOKUP($D367,'Modelling New'!$D:$D,'Modelling New'!O:O),"")</f>
        <v>0.80591076761496216</v>
      </c>
      <c r="AF367" s="222">
        <f>IFERROR(_xlfn.XLOOKUP($D367,'Modelling New'!$D:$D,'Modelling New'!W:W),"")</f>
        <v>0.23245759506743396</v>
      </c>
      <c r="AG367" s="222">
        <f>IFERROR(_xlfn.XLOOKUP($D367,'Modelling New'!$D:$D,'Modelling New'!AE:AE),"")</f>
        <v>0.995</v>
      </c>
      <c r="AH367" s="222">
        <f>IFERROR(_xlfn.XLOOKUP($D367,'Modelling New'!$D:$D,'Modelling New'!AF:AF),"")</f>
        <v>0.995</v>
      </c>
      <c r="AI367" s="9"/>
      <c r="AJ367" s="9"/>
      <c r="AK367" s="245"/>
      <c r="AL367" s="245"/>
      <c r="AM367" s="245"/>
      <c r="AN367" s="219"/>
      <c r="AO367" s="222"/>
      <c r="AP367" s="222"/>
      <c r="AQ367" s="222"/>
      <c r="AR367" s="223">
        <f>_xlfn.XLOOKUP(D367,'Modelling New'!$D:$D,'Modelling New'!$N:$N)</f>
        <v>130</v>
      </c>
      <c r="AS367" s="223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18">
        <f>Table13[[#This Row],[Date]]-DAY(Table13[[#This Row],[Date]])+1</f>
        <v>46082</v>
      </c>
      <c r="E368" s="9">
        <f t="shared" si="30"/>
        <v>31</v>
      </c>
      <c r="F368" s="188" t="str">
        <f>IFERROR(_xlfn.XLOOKUP($A368,Input_Raw!$A:$A,Input_Raw!$FC:$FC),"")</f>
        <v/>
      </c>
      <c r="G368" s="189" t="str">
        <f>IFERROR(_xlfn.XLOOKUP($A368,Input_Raw!$A:$A,Input_Raw!$CY:$CY),"")</f>
        <v/>
      </c>
      <c r="H368" s="189" t="str">
        <f>IFERROR(_xlfn.XLOOKUP($A368,Input_Raw!$A:$A,Input_Raw!$DA:$DA),"")</f>
        <v/>
      </c>
      <c r="I368" s="189" t="str">
        <f>IFERROR(_xlfn.XLOOKUP($A368,Input_Raw!$A:$A,Input_Raw!$CX:$CX),"")</f>
        <v/>
      </c>
      <c r="J368" s="189" t="str">
        <f>IFERROR(_xlfn.XLOOKUP($A368,Input_Raw!$A:$A,Input_Raw!$CZ:$CZ),"")</f>
        <v/>
      </c>
      <c r="K368" s="190" t="str">
        <f>IFERROR(_xlfn.XLOOKUP($A368,Input_Raw!$A:$A,Input_Raw!$DB:$DB),"")</f>
        <v/>
      </c>
      <c r="L368" s="190" t="str">
        <f>IFERROR(_xlfn.XLOOKUP($A368,Input_Raw!$A:$A,Input_Raw!$DC:$DC),"")</f>
        <v/>
      </c>
      <c r="M368" s="189" t="str">
        <f>IFERROR(_xlfn.XLOOKUP($A368,Input_Raw!$A:$A,Input_Raw!$DF:$DF),"")</f>
        <v/>
      </c>
      <c r="N368" s="189" t="str">
        <f>IFERROR(_xlfn.XLOOKUP($A368,Input_Raw!$A:$A,Input_Raw!$DG:$DG),"")</f>
        <v/>
      </c>
      <c r="O368" s="219" t="str">
        <f>IFERROR(1-(SUMIF(Plant_BD!$B:$B,$A368,Plant_BD!$AL:$AL)/($AA368+SUMIF(Plant_BD!$B:$B,$A368,Plant_BD!$AL:$AL))),"")</f>
        <v/>
      </c>
      <c r="P368" s="219"/>
      <c r="Q368" s="220" t="str">
        <f>IFERROR(1-(SUMIF(Grid_BD!$B:$B,$A368,Grid_BD!$V:$V)/($AA368+SUMIF(Grid_BD!$B:$B,$A368,Grid_BD!$V:$V))),"")</f>
        <v/>
      </c>
      <c r="R368" s="219" t="str">
        <f>IFERROR(1-(SUMIF(Grid_BD!$B:$B,$A368,Grid_BD!$V:$V)/($AA368+SUMIF(Grid_BD!$B:$B,$A368,Grid_BD!$V:$V))),"")</f>
        <v/>
      </c>
      <c r="S368" s="9"/>
      <c r="T368" s="220"/>
      <c r="U368" s="221" t="str">
        <f t="shared" si="31"/>
        <v/>
      </c>
      <c r="V368" s="221" t="str">
        <f>IFERROR(_xlfn.XLOOKUP($A368,Input_Raw!$A:$A,Input_Raw!$FG:$FG),"")</f>
        <v/>
      </c>
      <c r="W368" s="222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78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22">
        <f>IFERROR(_xlfn.XLOOKUP($D368,'Modelling New'!$D:$D,'Modelling New'!O:O),"")</f>
        <v>0.80591076761496216</v>
      </c>
      <c r="AF368" s="222">
        <f>IFERROR(_xlfn.XLOOKUP($D368,'Modelling New'!$D:$D,'Modelling New'!W:W),"")</f>
        <v>0.23245759506743396</v>
      </c>
      <c r="AG368" s="222">
        <f>IFERROR(_xlfn.XLOOKUP($D368,'Modelling New'!$D:$D,'Modelling New'!AE:AE),"")</f>
        <v>0.995</v>
      </c>
      <c r="AH368" s="222">
        <f>IFERROR(_xlfn.XLOOKUP($D368,'Modelling New'!$D:$D,'Modelling New'!AF:AF),"")</f>
        <v>0.995</v>
      </c>
      <c r="AI368" s="9"/>
      <c r="AJ368" s="9"/>
      <c r="AK368" s="245"/>
      <c r="AL368" s="245"/>
      <c r="AM368" s="245"/>
      <c r="AN368" s="219"/>
      <c r="AO368" s="222"/>
      <c r="AP368" s="222"/>
      <c r="AQ368" s="222"/>
      <c r="AR368" s="223">
        <f>_xlfn.XLOOKUP(D368,'Modelling New'!$D:$D,'Modelling New'!$N:$N)</f>
        <v>130</v>
      </c>
      <c r="AS368" s="223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18">
        <f>Table13[[#This Row],[Date]]-DAY(Table13[[#This Row],[Date]])+1</f>
        <v>46082</v>
      </c>
      <c r="E369" s="9">
        <f t="shared" si="30"/>
        <v>31</v>
      </c>
      <c r="F369" s="188" t="str">
        <f>IFERROR(_xlfn.XLOOKUP($A369,Input_Raw!$A:$A,Input_Raw!$FC:$FC),"")</f>
        <v/>
      </c>
      <c r="G369" s="178" t="str">
        <f>IFERROR(_xlfn.XLOOKUP($A369,Input_Raw!$A:$A,Input_Raw!$CY:$CY),"")</f>
        <v/>
      </c>
      <c r="H369" s="178" t="str">
        <f>IFERROR(_xlfn.XLOOKUP($A369,Input_Raw!$A:$A,Input_Raw!$DA:$DA),"")</f>
        <v/>
      </c>
      <c r="I369" s="178" t="str">
        <f>IFERROR(_xlfn.XLOOKUP($A369,Input_Raw!$A:$A,Input_Raw!$CX:$CX),"")</f>
        <v/>
      </c>
      <c r="J369" s="178" t="str">
        <f>IFERROR(_xlfn.XLOOKUP($A369,Input_Raw!$A:$A,Input_Raw!$CZ:$CZ),"")</f>
        <v/>
      </c>
      <c r="K369" s="190" t="str">
        <f>IFERROR(_xlfn.XLOOKUP($A369,Input_Raw!$A:$A,Input_Raw!$DB:$DB),"")</f>
        <v/>
      </c>
      <c r="L369" s="190" t="str">
        <f>IFERROR(_xlfn.XLOOKUP($A369,Input_Raw!$A:$A,Input_Raw!$DC:$DC),"")</f>
        <v/>
      </c>
      <c r="M369" s="189" t="str">
        <f>IFERROR(_xlfn.XLOOKUP($A369,Input_Raw!$A:$A,Input_Raw!$DF:$DF),"")</f>
        <v/>
      </c>
      <c r="N369" s="189" t="str">
        <f>IFERROR(_xlfn.XLOOKUP($A369,Input_Raw!$A:$A,Input_Raw!$DG:$DG),"")</f>
        <v/>
      </c>
      <c r="O369" s="219" t="str">
        <f>IFERROR(1-(SUMIF(Plant_BD!$B:$B,$A369,Plant_BD!$AL:$AL)/($AA369+SUMIF(Plant_BD!$B:$B,$A369,Plant_BD!$AL:$AL))),"")</f>
        <v/>
      </c>
      <c r="P369" s="219"/>
      <c r="Q369" s="220" t="str">
        <f>IFERROR(1-(SUMIF(Grid_BD!$B:$B,$A369,Grid_BD!$V:$V)/($AA369+SUMIF(Grid_BD!$B:$B,$A369,Grid_BD!$V:$V))),"")</f>
        <v/>
      </c>
      <c r="R369" s="219" t="str">
        <f>IFERROR(1-(SUMIF(Grid_BD!$B:$B,$A369,Grid_BD!$V:$V)/($AA369+SUMIF(Grid_BD!$B:$B,$A369,Grid_BD!$V:$V))),"")</f>
        <v/>
      </c>
      <c r="S369" s="9"/>
      <c r="T369" s="220"/>
      <c r="U369" s="221" t="str">
        <f t="shared" si="31"/>
        <v/>
      </c>
      <c r="V369" s="221" t="str">
        <f>IFERROR(_xlfn.XLOOKUP($A369,Input_Raw!$A:$A,Input_Raw!$FG:$FG),"")</f>
        <v/>
      </c>
      <c r="W369" s="222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78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22">
        <f>IFERROR(_xlfn.XLOOKUP($D369,'Modelling New'!$D:$D,'Modelling New'!O:O),"")</f>
        <v>0.80591076761496216</v>
      </c>
      <c r="AF369" s="222">
        <f>IFERROR(_xlfn.XLOOKUP($D369,'Modelling New'!$D:$D,'Modelling New'!W:W),"")</f>
        <v>0.23245759506743396</v>
      </c>
      <c r="AG369" s="222">
        <f>IFERROR(_xlfn.XLOOKUP($D369,'Modelling New'!$D:$D,'Modelling New'!AE:AE),"")</f>
        <v>0.995</v>
      </c>
      <c r="AH369" s="222">
        <f>IFERROR(_xlfn.XLOOKUP($D369,'Modelling New'!$D:$D,'Modelling New'!AF:AF),"")</f>
        <v>0.995</v>
      </c>
      <c r="AI369" s="9"/>
      <c r="AJ369" s="9"/>
      <c r="AK369" s="245"/>
      <c r="AL369" s="245"/>
      <c r="AM369" s="245"/>
      <c r="AN369" s="219"/>
      <c r="AO369" s="222"/>
      <c r="AP369" s="222"/>
      <c r="AQ369" s="222"/>
      <c r="AR369" s="223">
        <f>_xlfn.XLOOKUP(D369,'Modelling New'!$D:$D,'Modelling New'!$N:$N)</f>
        <v>130</v>
      </c>
      <c r="AS369" s="223" t="str">
        <f t="shared" si="33"/>
        <v/>
      </c>
    </row>
    <row r="370" spans="1:45">
      <c r="AR370" s="223"/>
      <c r="AS370" s="223"/>
    </row>
    <row r="371" spans="1:45">
      <c r="AR371" s="223"/>
      <c r="AS371" s="223"/>
    </row>
    <row r="372" spans="1:45">
      <c r="AR372" s="223"/>
      <c r="AS372" s="223"/>
    </row>
    <row r="373" spans="1:45">
      <c r="AR373" s="223"/>
      <c r="AS373" s="223"/>
    </row>
    <row r="374" spans="1:45">
      <c r="AR374" s="223"/>
      <c r="AS374" s="223"/>
    </row>
    <row r="375" spans="1:45">
      <c r="AR375" s="223"/>
      <c r="AS375" s="223"/>
    </row>
    <row r="376" spans="1:45">
      <c r="AR376" s="223"/>
      <c r="AS376" s="223"/>
    </row>
    <row r="377" spans="1:45">
      <c r="AR377" s="223"/>
      <c r="AS377" s="223"/>
    </row>
    <row r="378" spans="1:45">
      <c r="AR378" s="223"/>
      <c r="AS378" s="223"/>
    </row>
    <row r="379" spans="1:45">
      <c r="AR379" s="223"/>
      <c r="AS379" s="223"/>
    </row>
    <row r="380" spans="1:45">
      <c r="AR380" s="223"/>
      <c r="AS380" s="223"/>
    </row>
    <row r="381" spans="1:45">
      <c r="AR381" s="223"/>
      <c r="AS381" s="223"/>
    </row>
    <row r="382" spans="1:45">
      <c r="AR382" s="223"/>
      <c r="AS382" s="223"/>
    </row>
    <row r="383" spans="1:45">
      <c r="AR383" s="223"/>
      <c r="AS383" s="223"/>
    </row>
    <row r="384" spans="1:45">
      <c r="AR384" s="223"/>
      <c r="AS384" s="223"/>
    </row>
    <row r="385" spans="44:45">
      <c r="AR385" s="223"/>
      <c r="AS385" s="223"/>
    </row>
    <row r="386" spans="44:45">
      <c r="AR386" s="223"/>
      <c r="AS386" s="223"/>
    </row>
    <row r="387" spans="44:45">
      <c r="AR387" s="223"/>
      <c r="AS387" s="223"/>
    </row>
    <row r="388" spans="44:45">
      <c r="AR388" s="223"/>
      <c r="AS388" s="223"/>
    </row>
    <row r="389" spans="44:45">
      <c r="AR389" s="223"/>
      <c r="AS389" s="223"/>
    </row>
    <row r="390" spans="44:45">
      <c r="AR390" s="223"/>
      <c r="AS390" s="223"/>
    </row>
    <row r="391" spans="44:45">
      <c r="AR391" s="223"/>
      <c r="AS391" s="223"/>
    </row>
    <row r="392" spans="44:45">
      <c r="AR392" s="223"/>
      <c r="AS392" s="223"/>
    </row>
    <row r="393" spans="44:45">
      <c r="AR393" s="223"/>
      <c r="AS393" s="223"/>
    </row>
    <row r="394" spans="44:45">
      <c r="AR394" s="223"/>
      <c r="AS394" s="223"/>
    </row>
    <row r="395" spans="44:45">
      <c r="AR395" s="223"/>
      <c r="AS395" s="223"/>
    </row>
    <row r="396" spans="44:45">
      <c r="AR396" s="223"/>
      <c r="AS396" s="223"/>
    </row>
    <row r="397" spans="44:45">
      <c r="AR397" s="223"/>
      <c r="AS397" s="223"/>
    </row>
    <row r="398" spans="44:45">
      <c r="AR398" s="223"/>
      <c r="AS398" s="223"/>
    </row>
    <row r="399" spans="44:45">
      <c r="AR399" s="223"/>
      <c r="AS399" s="223"/>
    </row>
    <row r="400" spans="44:45">
      <c r="AR400" s="223"/>
      <c r="AS400" s="223"/>
    </row>
    <row r="401" spans="44:45">
      <c r="AR401" s="223"/>
      <c r="AS401" s="223"/>
    </row>
    <row r="402" spans="44:45">
      <c r="AR402" s="223"/>
      <c r="AS402" s="223"/>
    </row>
    <row r="403" spans="44:45">
      <c r="AR403" s="223"/>
      <c r="AS403" s="223"/>
    </row>
    <row r="404" spans="44:45">
      <c r="AR404" s="223"/>
      <c r="AS404" s="223"/>
    </row>
    <row r="405" spans="44:45">
      <c r="AR405" s="223"/>
      <c r="AS405" s="223"/>
    </row>
    <row r="406" spans="44:45">
      <c r="AR406" s="223"/>
      <c r="AS406" s="223"/>
    </row>
    <row r="407" spans="44:45">
      <c r="AR407" s="223"/>
      <c r="AS407" s="223"/>
    </row>
    <row r="408" spans="44:45">
      <c r="AR408" s="223"/>
      <c r="AS408" s="223"/>
    </row>
    <row r="409" spans="44:45">
      <c r="AR409" s="223"/>
      <c r="AS409" s="223"/>
    </row>
    <row r="410" spans="44:45">
      <c r="AR410" s="223"/>
      <c r="AS410" s="223"/>
    </row>
    <row r="411" spans="44:45">
      <c r="AR411" s="223"/>
      <c r="AS411" s="223"/>
    </row>
    <row r="412" spans="44:45">
      <c r="AR412" s="223"/>
      <c r="AS412" s="223"/>
    </row>
    <row r="413" spans="44:45">
      <c r="AR413" s="223"/>
      <c r="AS413" s="223"/>
    </row>
    <row r="414" spans="44:45">
      <c r="AR414" s="223"/>
      <c r="AS414" s="223"/>
    </row>
    <row r="415" spans="44:45">
      <c r="AR415" s="223"/>
      <c r="AS415" s="223"/>
    </row>
    <row r="416" spans="44:45">
      <c r="AR416" s="223"/>
      <c r="AS416" s="223"/>
    </row>
    <row r="417" spans="44:45">
      <c r="AR417" s="223"/>
      <c r="AS417" s="223"/>
    </row>
    <row r="418" spans="44:45">
      <c r="AR418" s="223"/>
      <c r="AS418" s="223"/>
    </row>
    <row r="419" spans="44:45">
      <c r="AR419" s="223"/>
      <c r="AS419" s="223"/>
    </row>
    <row r="420" spans="44:45">
      <c r="AR420" s="223"/>
      <c r="AS420" s="223"/>
    </row>
    <row r="421" spans="44:45">
      <c r="AR421" s="223"/>
      <c r="AS421" s="223"/>
    </row>
    <row r="422" spans="44:45">
      <c r="AR422" s="223"/>
      <c r="AS422" s="223"/>
    </row>
    <row r="423" spans="44:45">
      <c r="AR423" s="223"/>
      <c r="AS423" s="223"/>
    </row>
    <row r="424" spans="44:45">
      <c r="AR424" s="223"/>
      <c r="AS424" s="223"/>
    </row>
    <row r="425" spans="44:45">
      <c r="AR425" s="223"/>
      <c r="AS425" s="223"/>
    </row>
    <row r="426" spans="44:45">
      <c r="AR426" s="223"/>
      <c r="AS426" s="223"/>
    </row>
    <row r="427" spans="44:45">
      <c r="AR427" s="223"/>
      <c r="AS427" s="223"/>
    </row>
    <row r="428" spans="44:45">
      <c r="AR428" s="223"/>
      <c r="AS428" s="223"/>
    </row>
    <row r="429" spans="44:45">
      <c r="AR429" s="223"/>
      <c r="AS429" s="223"/>
    </row>
    <row r="430" spans="44:45">
      <c r="AR430" s="223"/>
      <c r="AS430" s="223"/>
    </row>
    <row r="431" spans="44:45">
      <c r="AR431" s="223"/>
      <c r="AS431" s="223"/>
    </row>
    <row r="432" spans="44:45">
      <c r="AR432" s="223"/>
      <c r="AS432" s="223"/>
    </row>
    <row r="433" spans="44:45">
      <c r="AR433" s="223"/>
      <c r="AS433" s="223"/>
    </row>
    <row r="434" spans="44:45">
      <c r="AR434" s="223"/>
      <c r="AS434" s="223"/>
    </row>
    <row r="435" spans="44:45">
      <c r="AR435" s="223"/>
      <c r="AS435" s="223"/>
    </row>
    <row r="436" spans="44:45">
      <c r="AR436" s="223"/>
      <c r="AS436" s="223"/>
    </row>
    <row r="437" spans="44:45">
      <c r="AR437" s="223"/>
      <c r="AS437" s="223"/>
    </row>
    <row r="438" spans="44:45">
      <c r="AR438" s="223"/>
      <c r="AS438" s="223"/>
    </row>
    <row r="439" spans="44:45">
      <c r="AR439" s="223"/>
      <c r="AS439" s="223"/>
    </row>
    <row r="440" spans="44:45">
      <c r="AR440" s="223"/>
      <c r="AS440" s="223"/>
    </row>
    <row r="441" spans="44:45">
      <c r="AR441" s="223"/>
      <c r="AS441" s="223"/>
    </row>
    <row r="442" spans="44:45">
      <c r="AR442" s="223"/>
      <c r="AS442" s="223"/>
    </row>
    <row r="443" spans="44:45">
      <c r="AR443" s="223"/>
      <c r="AS443" s="223"/>
    </row>
    <row r="444" spans="44:45">
      <c r="AR444" s="223"/>
      <c r="AS444" s="223"/>
    </row>
    <row r="445" spans="44:45">
      <c r="AR445" s="223"/>
      <c r="AS445" s="223"/>
    </row>
    <row r="446" spans="44:45">
      <c r="AR446" s="223"/>
      <c r="AS446" s="223"/>
    </row>
    <row r="447" spans="44:45">
      <c r="AR447" s="223"/>
      <c r="AS447" s="223"/>
    </row>
    <row r="448" spans="44:45">
      <c r="AR448" s="223"/>
      <c r="AS448" s="223"/>
    </row>
    <row r="449" spans="44:45">
      <c r="AR449" s="223"/>
      <c r="AS449" s="223"/>
    </row>
    <row r="450" spans="44:45">
      <c r="AR450" s="223"/>
      <c r="AS450" s="223"/>
    </row>
    <row r="451" spans="44:45">
      <c r="AR451" s="223"/>
      <c r="AS451" s="223"/>
    </row>
    <row r="452" spans="44:45">
      <c r="AR452" s="223"/>
      <c r="AS452" s="223"/>
    </row>
    <row r="453" spans="44:45">
      <c r="AR453" s="223"/>
      <c r="AS453" s="223"/>
    </row>
    <row r="454" spans="44:45">
      <c r="AR454" s="223"/>
      <c r="AS454" s="223"/>
    </row>
    <row r="455" spans="44:45">
      <c r="AR455" s="223"/>
      <c r="AS455" s="223"/>
    </row>
    <row r="456" spans="44:45">
      <c r="AR456" s="223"/>
      <c r="AS456" s="223"/>
    </row>
    <row r="457" spans="44:45">
      <c r="AR457" s="223"/>
      <c r="AS457" s="223"/>
    </row>
    <row r="458" spans="44:45">
      <c r="AR458" s="223"/>
      <c r="AS458" s="223"/>
    </row>
    <row r="459" spans="44:45">
      <c r="AR459" s="223"/>
      <c r="AS459" s="223"/>
    </row>
    <row r="460" spans="44:45">
      <c r="AR460" s="223"/>
      <c r="AS460" s="223"/>
    </row>
    <row r="461" spans="44:45">
      <c r="AR461" s="223"/>
      <c r="AS461" s="223"/>
    </row>
    <row r="462" spans="44:45">
      <c r="AR462" s="223"/>
      <c r="AS462" s="223"/>
    </row>
    <row r="463" spans="44:45">
      <c r="AR463" s="223"/>
      <c r="AS463" s="223"/>
    </row>
    <row r="464" spans="44:45">
      <c r="AR464" s="223"/>
      <c r="AS464" s="223"/>
    </row>
    <row r="465" spans="44:45">
      <c r="AR465" s="223"/>
      <c r="AS465" s="223"/>
    </row>
    <row r="466" spans="44:45">
      <c r="AR466" s="223"/>
      <c r="AS466" s="223"/>
    </row>
    <row r="467" spans="44:45">
      <c r="AR467" s="223"/>
      <c r="AS467" s="223"/>
    </row>
    <row r="468" spans="44:45">
      <c r="AR468" s="223"/>
      <c r="AS468" s="223"/>
    </row>
    <row r="469" spans="44:45">
      <c r="AR469" s="223"/>
      <c r="AS469" s="223"/>
    </row>
    <row r="470" spans="44:45">
      <c r="AR470" s="223"/>
      <c r="AS470" s="223"/>
    </row>
    <row r="471" spans="44:45">
      <c r="AR471" s="223"/>
      <c r="AS471" s="223"/>
    </row>
    <row r="472" spans="44:45">
      <c r="AR472" s="223"/>
      <c r="AS472" s="223"/>
    </row>
    <row r="473" spans="44:45">
      <c r="AR473" s="223"/>
      <c r="AS473" s="223"/>
    </row>
    <row r="474" spans="44:45">
      <c r="AR474" s="223"/>
      <c r="AS474" s="223"/>
    </row>
    <row r="475" spans="44:45">
      <c r="AR475" s="223"/>
      <c r="AS475" s="223"/>
    </row>
    <row r="476" spans="44:45">
      <c r="AR476" s="223"/>
      <c r="AS476" s="223"/>
    </row>
    <row r="477" spans="44:45">
      <c r="AR477" s="223"/>
      <c r="AS477" s="223"/>
    </row>
    <row r="478" spans="44:45">
      <c r="AR478" s="223"/>
      <c r="AS478" s="223"/>
    </row>
    <row r="479" spans="44:45">
      <c r="AR479" s="223"/>
      <c r="AS479" s="223"/>
    </row>
    <row r="480" spans="44:45">
      <c r="AR480" s="223"/>
      <c r="AS480" s="223"/>
    </row>
    <row r="481" spans="44:45">
      <c r="AR481" s="223"/>
      <c r="AS481" s="223"/>
    </row>
    <row r="482" spans="44:45">
      <c r="AR482" s="223"/>
      <c r="AS482" s="223"/>
    </row>
    <row r="483" spans="44:45">
      <c r="AR483" s="223"/>
      <c r="AS483" s="223"/>
    </row>
    <row r="484" spans="44:45">
      <c r="AR484" s="223"/>
      <c r="AS484" s="223"/>
    </row>
    <row r="485" spans="44:45">
      <c r="AR485" s="223"/>
      <c r="AS485" s="223"/>
    </row>
    <row r="486" spans="44:45">
      <c r="AR486" s="223"/>
      <c r="AS486" s="223"/>
    </row>
    <row r="487" spans="44:45">
      <c r="AR487" s="223"/>
      <c r="AS487" s="223"/>
    </row>
    <row r="488" spans="44:45">
      <c r="AR488" s="223"/>
      <c r="AS488" s="223"/>
    </row>
    <row r="489" spans="44:45">
      <c r="AR489" s="223"/>
      <c r="AS489" s="223"/>
    </row>
    <row r="490" spans="44:45">
      <c r="AR490" s="223"/>
      <c r="AS490" s="223"/>
    </row>
    <row r="491" spans="44:45">
      <c r="AR491" s="223"/>
      <c r="AS491" s="223"/>
    </row>
    <row r="492" spans="44:45">
      <c r="AR492" s="223"/>
      <c r="AS492" s="223"/>
    </row>
    <row r="493" spans="44:45">
      <c r="AR493" s="223"/>
      <c r="AS493" s="223"/>
    </row>
    <row r="494" spans="44:45">
      <c r="AR494" s="223"/>
      <c r="AS494" s="223"/>
    </row>
    <row r="495" spans="44:45">
      <c r="AR495" s="223"/>
      <c r="AS495" s="223"/>
    </row>
    <row r="496" spans="44:45">
      <c r="AR496" s="223"/>
      <c r="AS496" s="223"/>
    </row>
    <row r="497" spans="44:45">
      <c r="AR497" s="223"/>
      <c r="AS497" s="223"/>
    </row>
    <row r="498" spans="44:45">
      <c r="AR498" s="223"/>
      <c r="AS498" s="223"/>
    </row>
    <row r="499" spans="44:45">
      <c r="AR499" s="223"/>
      <c r="AS499" s="223"/>
    </row>
    <row r="500" spans="44:45">
      <c r="AR500" s="223"/>
      <c r="AS500" s="223"/>
    </row>
    <row r="501" spans="44:45">
      <c r="AR501" s="223"/>
      <c r="AS501" s="223"/>
    </row>
    <row r="502" spans="44:45">
      <c r="AR502" s="223"/>
      <c r="AS502" s="223"/>
    </row>
    <row r="503" spans="44:45">
      <c r="AR503" s="223"/>
      <c r="AS503" s="223"/>
    </row>
    <row r="504" spans="44:45">
      <c r="AR504" s="223"/>
      <c r="AS504" s="223"/>
    </row>
    <row r="505" spans="44:45">
      <c r="AR505" s="223"/>
      <c r="AS505" s="223"/>
    </row>
    <row r="506" spans="44:45">
      <c r="AR506" s="223"/>
      <c r="AS506" s="223"/>
    </row>
    <row r="507" spans="44:45">
      <c r="AR507" s="223"/>
      <c r="AS507" s="223"/>
    </row>
    <row r="508" spans="44:45">
      <c r="AR508" s="223"/>
      <c r="AS508" s="223"/>
    </row>
    <row r="509" spans="44:45">
      <c r="AR509" s="223"/>
      <c r="AS509" s="223"/>
    </row>
    <row r="510" spans="44:45">
      <c r="AR510" s="223"/>
      <c r="AS510" s="223"/>
    </row>
    <row r="511" spans="44:45">
      <c r="AR511" s="223"/>
      <c r="AS511" s="223"/>
    </row>
    <row r="512" spans="44:45">
      <c r="AR512" s="223"/>
      <c r="AS512" s="223"/>
    </row>
    <row r="513" spans="44:45">
      <c r="AR513" s="223"/>
      <c r="AS513" s="223"/>
    </row>
    <row r="514" spans="44:45">
      <c r="AR514" s="223"/>
      <c r="AS514" s="223"/>
    </row>
    <row r="515" spans="44:45">
      <c r="AR515" s="223"/>
      <c r="AS515" s="223"/>
    </row>
    <row r="516" spans="44:45">
      <c r="AR516" s="223"/>
      <c r="AS516" s="223"/>
    </row>
    <row r="517" spans="44:45">
      <c r="AR517" s="223"/>
      <c r="AS517" s="223"/>
    </row>
    <row r="518" spans="44:45">
      <c r="AR518" s="223"/>
      <c r="AS518" s="223"/>
    </row>
    <row r="519" spans="44:45">
      <c r="AR519" s="223"/>
      <c r="AS519" s="223"/>
    </row>
    <row r="520" spans="44:45">
      <c r="AR520" s="223"/>
      <c r="AS520" s="223"/>
    </row>
    <row r="521" spans="44:45">
      <c r="AR521" s="223"/>
      <c r="AS521" s="223"/>
    </row>
    <row r="522" spans="44:45">
      <c r="AR522" s="223"/>
      <c r="AS522" s="223"/>
    </row>
    <row r="523" spans="44:45">
      <c r="AR523" s="223"/>
      <c r="AS523" s="223"/>
    </row>
    <row r="524" spans="44:45">
      <c r="AR524" s="223"/>
      <c r="AS524" s="223"/>
    </row>
    <row r="525" spans="44:45">
      <c r="AR525" s="223"/>
      <c r="AS525" s="223"/>
    </row>
    <row r="526" spans="44:45">
      <c r="AR526" s="223"/>
      <c r="AS526" s="223"/>
    </row>
    <row r="527" spans="44:45">
      <c r="AR527" s="223"/>
      <c r="AS527" s="223"/>
    </row>
    <row r="528" spans="44:45">
      <c r="AR528" s="223"/>
      <c r="AS528" s="223"/>
    </row>
    <row r="529" spans="44:45">
      <c r="AR529" s="223"/>
      <c r="AS529" s="223"/>
    </row>
    <row r="530" spans="44:45">
      <c r="AR530" s="223"/>
      <c r="AS530" s="223"/>
    </row>
    <row r="531" spans="44:45">
      <c r="AR531" s="223"/>
      <c r="AS531" s="223"/>
    </row>
    <row r="532" spans="44:45">
      <c r="AR532" s="223"/>
      <c r="AS532" s="223"/>
    </row>
    <row r="533" spans="44:45">
      <c r="AR533" s="223"/>
      <c r="AS533" s="223"/>
    </row>
    <row r="534" spans="44:45">
      <c r="AR534" s="223"/>
      <c r="AS534" s="223"/>
    </row>
    <row r="535" spans="44:45">
      <c r="AR535" s="223"/>
      <c r="AS535" s="223"/>
    </row>
    <row r="536" spans="44:45">
      <c r="AR536" s="223"/>
      <c r="AS536" s="223"/>
    </row>
    <row r="537" spans="44:45">
      <c r="AR537" s="223"/>
      <c r="AS537" s="223"/>
    </row>
    <row r="538" spans="44:45">
      <c r="AR538" s="223"/>
      <c r="AS538" s="223"/>
    </row>
    <row r="539" spans="44:45">
      <c r="AR539" s="223"/>
      <c r="AS539" s="223"/>
    </row>
    <row r="540" spans="44:45">
      <c r="AR540" s="223"/>
      <c r="AS540" s="223"/>
    </row>
    <row r="541" spans="44:45">
      <c r="AR541" s="223"/>
      <c r="AS541" s="223"/>
    </row>
    <row r="542" spans="44:45">
      <c r="AR542" s="223"/>
      <c r="AS542" s="223"/>
    </row>
    <row r="543" spans="44:45">
      <c r="AR543" s="223"/>
      <c r="AS543" s="223"/>
    </row>
    <row r="544" spans="44:45">
      <c r="AR544" s="223"/>
      <c r="AS544" s="223"/>
    </row>
    <row r="545" spans="44:45">
      <c r="AR545" s="223"/>
      <c r="AS545" s="223"/>
    </row>
    <row r="546" spans="44:45">
      <c r="AR546" s="223"/>
      <c r="AS546" s="223"/>
    </row>
    <row r="547" spans="44:45">
      <c r="AR547" s="223"/>
      <c r="AS547" s="223"/>
    </row>
    <row r="548" spans="44:45">
      <c r="AR548" s="223"/>
      <c r="AS548" s="223"/>
    </row>
    <row r="549" spans="44:45">
      <c r="AR549" s="223"/>
      <c r="AS549" s="223"/>
    </row>
    <row r="550" spans="44:45">
      <c r="AR550" s="223"/>
      <c r="AS550" s="223"/>
    </row>
    <row r="551" spans="44:45">
      <c r="AR551" s="223"/>
      <c r="AS551" s="223"/>
    </row>
    <row r="552" spans="44:45">
      <c r="AR552" s="223"/>
      <c r="AS552" s="223"/>
    </row>
    <row r="553" spans="44:45">
      <c r="AR553" s="223"/>
      <c r="AS553" s="223"/>
    </row>
    <row r="554" spans="44:45">
      <c r="AR554" s="223"/>
      <c r="AS554" s="223"/>
    </row>
    <row r="555" spans="44:45">
      <c r="AR555" s="223"/>
      <c r="AS555" s="223"/>
    </row>
    <row r="556" spans="44:45">
      <c r="AR556" s="223"/>
      <c r="AS556" s="223"/>
    </row>
    <row r="557" spans="44:45">
      <c r="AR557" s="223"/>
      <c r="AS557" s="223"/>
    </row>
    <row r="558" spans="44:45">
      <c r="AR558" s="223"/>
      <c r="AS558" s="223"/>
    </row>
    <row r="559" spans="44:45">
      <c r="AR559" s="223"/>
      <c r="AS559" s="223"/>
    </row>
    <row r="560" spans="44:45">
      <c r="AR560" s="223"/>
      <c r="AS560" s="223"/>
    </row>
    <row r="561" spans="44:45">
      <c r="AR561" s="223"/>
      <c r="AS561" s="223"/>
    </row>
    <row r="562" spans="44:45">
      <c r="AR562" s="223"/>
      <c r="AS562" s="223"/>
    </row>
    <row r="563" spans="44:45">
      <c r="AR563" s="223"/>
      <c r="AS563" s="223"/>
    </row>
    <row r="564" spans="44:45">
      <c r="AR564" s="223"/>
      <c r="AS564" s="223"/>
    </row>
    <row r="565" spans="44:45">
      <c r="AR565" s="223"/>
      <c r="AS565" s="223"/>
    </row>
    <row r="566" spans="44:45">
      <c r="AR566" s="223"/>
      <c r="AS566" s="223"/>
    </row>
    <row r="567" spans="44:45">
      <c r="AR567" s="223"/>
      <c r="AS567" s="223"/>
    </row>
    <row r="568" spans="44:45">
      <c r="AR568" s="223"/>
      <c r="AS568" s="223"/>
    </row>
    <row r="569" spans="44:45">
      <c r="AR569" s="223"/>
      <c r="AS569" s="223"/>
    </row>
    <row r="570" spans="44:45">
      <c r="AR570" s="223"/>
      <c r="AS570" s="223"/>
    </row>
    <row r="571" spans="44:45">
      <c r="AR571" s="223"/>
      <c r="AS571" s="223"/>
    </row>
    <row r="572" spans="44:45">
      <c r="AR572" s="223"/>
      <c r="AS572" s="223"/>
    </row>
    <row r="573" spans="44:45">
      <c r="AR573" s="223"/>
      <c r="AS573" s="223"/>
    </row>
    <row r="574" spans="44:45">
      <c r="AR574" s="223"/>
      <c r="AS574" s="223"/>
    </row>
    <row r="575" spans="44:45">
      <c r="AR575" s="223"/>
      <c r="AS575" s="223"/>
    </row>
    <row r="576" spans="44:45">
      <c r="AR576" s="223"/>
      <c r="AS576" s="223"/>
    </row>
    <row r="577" spans="44:45">
      <c r="AR577" s="223"/>
      <c r="AS577" s="223"/>
    </row>
    <row r="578" spans="44:45">
      <c r="AR578" s="223"/>
      <c r="AS578" s="223"/>
    </row>
    <row r="579" spans="44:45">
      <c r="AR579" s="223"/>
      <c r="AS579" s="223"/>
    </row>
    <row r="580" spans="44:45">
      <c r="AR580" s="223"/>
      <c r="AS580" s="223"/>
    </row>
    <row r="581" spans="44:45">
      <c r="AR581" s="223"/>
      <c r="AS581" s="223"/>
    </row>
    <row r="582" spans="44:45">
      <c r="AR582" s="223"/>
      <c r="AS582" s="223"/>
    </row>
    <row r="583" spans="44:45">
      <c r="AR583" s="223"/>
      <c r="AS583" s="223"/>
    </row>
    <row r="584" spans="44:45">
      <c r="AR584" s="223"/>
      <c r="AS584" s="223"/>
    </row>
    <row r="585" spans="44:45">
      <c r="AR585" s="223"/>
      <c r="AS585" s="223"/>
    </row>
    <row r="586" spans="44:45">
      <c r="AR586" s="223"/>
      <c r="AS586" s="223"/>
    </row>
    <row r="587" spans="44:45">
      <c r="AR587" s="223"/>
      <c r="AS587" s="223"/>
    </row>
    <row r="588" spans="44:45">
      <c r="AR588" s="223"/>
      <c r="AS588" s="223"/>
    </row>
    <row r="589" spans="44:45">
      <c r="AR589" s="223"/>
      <c r="AS589" s="223"/>
    </row>
    <row r="590" spans="44:45">
      <c r="AR590" s="223"/>
      <c r="AS590" s="223"/>
    </row>
    <row r="591" spans="44:45">
      <c r="AR591" s="223"/>
      <c r="AS591" s="223"/>
    </row>
    <row r="592" spans="44:45">
      <c r="AR592" s="223"/>
      <c r="AS592" s="223"/>
    </row>
    <row r="593" spans="44:45">
      <c r="AR593" s="223"/>
      <c r="AS593" s="223"/>
    </row>
    <row r="594" spans="44:45">
      <c r="AR594" s="223"/>
      <c r="AS594" s="223"/>
    </row>
    <row r="595" spans="44:45">
      <c r="AR595" s="223"/>
      <c r="AS595" s="223"/>
    </row>
    <row r="596" spans="44:45">
      <c r="AR596" s="223"/>
      <c r="AS596" s="223"/>
    </row>
    <row r="597" spans="44:45">
      <c r="AR597" s="223"/>
      <c r="AS597" s="223"/>
    </row>
    <row r="598" spans="44:45">
      <c r="AR598" s="223"/>
      <c r="AS598" s="223"/>
    </row>
    <row r="599" spans="44:45">
      <c r="AR599" s="223"/>
      <c r="AS599" s="223"/>
    </row>
    <row r="600" spans="44:45">
      <c r="AR600" s="223"/>
      <c r="AS600" s="223"/>
    </row>
    <row r="601" spans="44:45">
      <c r="AR601" s="223"/>
      <c r="AS601" s="223"/>
    </row>
    <row r="602" spans="44:45">
      <c r="AR602" s="223"/>
      <c r="AS602" s="223"/>
    </row>
    <row r="603" spans="44:45">
      <c r="AR603" s="223"/>
      <c r="AS603" s="223"/>
    </row>
    <row r="604" spans="44:45">
      <c r="AR604" s="223"/>
      <c r="AS604" s="223"/>
    </row>
    <row r="605" spans="44:45">
      <c r="AR605" s="223"/>
      <c r="AS605" s="223"/>
    </row>
    <row r="606" spans="44:45">
      <c r="AR606" s="223"/>
      <c r="AS606" s="223"/>
    </row>
    <row r="607" spans="44:45">
      <c r="AR607" s="223"/>
      <c r="AS607" s="223"/>
    </row>
    <row r="608" spans="44:45">
      <c r="AR608" s="223"/>
      <c r="AS608" s="223"/>
    </row>
    <row r="609" spans="44:45">
      <c r="AR609" s="223"/>
      <c r="AS609" s="223"/>
    </row>
    <row r="610" spans="44:45">
      <c r="AR610" s="223"/>
      <c r="AS610" s="223"/>
    </row>
    <row r="611" spans="44:45">
      <c r="AR611" s="223"/>
      <c r="AS611" s="223"/>
    </row>
    <row r="612" spans="44:45">
      <c r="AR612" s="223"/>
      <c r="AS612" s="223"/>
    </row>
    <row r="613" spans="44:45">
      <c r="AR613" s="223"/>
      <c r="AS613" s="223"/>
    </row>
    <row r="614" spans="44:45">
      <c r="AR614" s="223"/>
      <c r="AS614" s="223"/>
    </row>
    <row r="615" spans="44:45">
      <c r="AR615" s="223"/>
      <c r="AS615" s="223"/>
    </row>
    <row r="616" spans="44:45">
      <c r="AR616" s="223"/>
      <c r="AS616" s="223"/>
    </row>
    <row r="617" spans="44:45">
      <c r="AR617" s="223"/>
      <c r="AS617" s="223"/>
    </row>
    <row r="618" spans="44:45">
      <c r="AR618" s="223"/>
      <c r="AS618" s="223"/>
    </row>
    <row r="619" spans="44:45">
      <c r="AR619" s="223"/>
      <c r="AS619" s="223"/>
    </row>
    <row r="620" spans="44:45">
      <c r="AR620" s="223"/>
      <c r="AS620" s="223"/>
    </row>
    <row r="621" spans="44:45">
      <c r="AR621" s="223"/>
      <c r="AS621" s="223"/>
    </row>
    <row r="622" spans="44:45">
      <c r="AR622" s="223"/>
      <c r="AS622" s="223"/>
    </row>
    <row r="623" spans="44:45">
      <c r="AR623" s="223"/>
      <c r="AS623" s="223"/>
    </row>
    <row r="624" spans="44:45">
      <c r="AR624" s="223"/>
      <c r="AS624" s="223"/>
    </row>
    <row r="625" spans="44:45">
      <c r="AR625" s="223"/>
      <c r="AS625" s="223"/>
    </row>
    <row r="626" spans="44:45">
      <c r="AR626" s="223"/>
      <c r="AS626" s="223"/>
    </row>
    <row r="627" spans="44:45">
      <c r="AR627" s="223"/>
      <c r="AS627" s="223"/>
    </row>
    <row r="628" spans="44:45">
      <c r="AR628" s="223"/>
      <c r="AS628" s="223"/>
    </row>
    <row r="629" spans="44:45">
      <c r="AR629" s="223"/>
      <c r="AS629" s="223"/>
    </row>
    <row r="630" spans="44:45">
      <c r="AR630" s="223"/>
      <c r="AS630" s="223"/>
    </row>
    <row r="631" spans="44:45">
      <c r="AR631" s="223"/>
      <c r="AS631" s="223"/>
    </row>
    <row r="632" spans="44:45">
      <c r="AR632" s="223"/>
      <c r="AS632" s="223"/>
    </row>
    <row r="633" spans="44:45">
      <c r="AR633" s="223"/>
      <c r="AS633" s="223"/>
    </row>
    <row r="634" spans="44:45">
      <c r="AR634" s="223"/>
      <c r="AS634" s="223"/>
    </row>
    <row r="635" spans="44:45">
      <c r="AR635" s="223"/>
      <c r="AS635" s="223"/>
    </row>
    <row r="636" spans="44:45">
      <c r="AR636" s="223"/>
      <c r="AS636" s="223"/>
    </row>
    <row r="637" spans="44:45">
      <c r="AR637" s="223"/>
      <c r="AS637" s="223"/>
    </row>
    <row r="638" spans="44:45">
      <c r="AR638" s="223"/>
      <c r="AS638" s="223"/>
    </row>
    <row r="639" spans="44:45">
      <c r="AR639" s="223"/>
      <c r="AS639" s="223"/>
    </row>
    <row r="640" spans="44:45">
      <c r="AR640" s="223"/>
      <c r="AS640" s="223"/>
    </row>
    <row r="641" spans="44:45">
      <c r="AR641" s="223"/>
      <c r="AS641" s="223"/>
    </row>
    <row r="642" spans="44:45">
      <c r="AR642" s="223"/>
      <c r="AS642" s="223"/>
    </row>
    <row r="643" spans="44:45">
      <c r="AR643" s="223"/>
      <c r="AS643" s="223"/>
    </row>
    <row r="644" spans="44:45">
      <c r="AR644" s="223"/>
      <c r="AS644" s="223"/>
    </row>
    <row r="645" spans="44:45">
      <c r="AR645" s="223"/>
      <c r="AS645" s="223"/>
    </row>
    <row r="646" spans="44:45">
      <c r="AR646" s="223"/>
      <c r="AS646" s="223"/>
    </row>
    <row r="647" spans="44:45">
      <c r="AR647" s="223"/>
      <c r="AS647" s="223"/>
    </row>
    <row r="648" spans="44:45">
      <c r="AR648" s="223"/>
      <c r="AS648" s="223"/>
    </row>
    <row r="649" spans="44:45">
      <c r="AR649" s="223"/>
      <c r="AS649" s="223"/>
    </row>
    <row r="650" spans="44:45">
      <c r="AR650" s="223"/>
      <c r="AS650" s="223"/>
    </row>
    <row r="651" spans="44:45">
      <c r="AR651" s="223"/>
      <c r="AS651" s="223"/>
    </row>
    <row r="652" spans="44:45">
      <c r="AR652" s="223"/>
      <c r="AS652" s="223"/>
    </row>
    <row r="653" spans="44:45">
      <c r="AR653" s="223"/>
      <c r="AS653" s="223"/>
    </row>
    <row r="654" spans="44:45">
      <c r="AR654" s="223"/>
      <c r="AS654" s="223"/>
    </row>
    <row r="655" spans="44:45">
      <c r="AR655" s="223"/>
      <c r="AS655" s="223"/>
    </row>
    <row r="656" spans="44:45">
      <c r="AR656" s="223"/>
      <c r="AS656" s="223"/>
    </row>
    <row r="657" spans="44:45">
      <c r="AR657" s="223"/>
      <c r="AS657" s="223"/>
    </row>
    <row r="658" spans="44:45">
      <c r="AR658" s="223"/>
      <c r="AS658" s="223"/>
    </row>
    <row r="659" spans="44:45">
      <c r="AR659" s="223"/>
      <c r="AS659" s="223"/>
    </row>
    <row r="660" spans="44:45">
      <c r="AR660" s="223"/>
      <c r="AS660" s="223"/>
    </row>
    <row r="661" spans="44:45">
      <c r="AR661" s="223"/>
      <c r="AS661" s="223"/>
    </row>
    <row r="662" spans="44:45">
      <c r="AR662" s="223"/>
      <c r="AS662" s="223"/>
    </row>
    <row r="663" spans="44:45">
      <c r="AR663" s="223"/>
      <c r="AS663" s="223"/>
    </row>
    <row r="664" spans="44:45">
      <c r="AR664" s="223"/>
      <c r="AS664" s="223"/>
    </row>
    <row r="665" spans="44:45">
      <c r="AR665" s="223"/>
      <c r="AS665" s="223"/>
    </row>
    <row r="666" spans="44:45">
      <c r="AR666" s="223"/>
      <c r="AS666" s="223"/>
    </row>
    <row r="667" spans="44:45">
      <c r="AR667" s="223"/>
      <c r="AS667" s="223"/>
    </row>
    <row r="668" spans="44:45">
      <c r="AR668" s="223"/>
      <c r="AS668" s="223"/>
    </row>
    <row r="669" spans="44:45">
      <c r="AR669" s="223"/>
      <c r="AS669" s="223"/>
    </row>
    <row r="670" spans="44:45">
      <c r="AR670" s="223"/>
      <c r="AS670" s="223"/>
    </row>
    <row r="671" spans="44:45">
      <c r="AR671" s="223"/>
      <c r="AS671" s="223"/>
    </row>
    <row r="672" spans="44:45">
      <c r="AR672" s="223"/>
      <c r="AS672" s="223"/>
    </row>
    <row r="673" spans="44:45">
      <c r="AR673" s="223"/>
      <c r="AS673" s="223"/>
    </row>
    <row r="674" spans="44:45">
      <c r="AR674" s="223"/>
      <c r="AS674" s="223"/>
    </row>
    <row r="675" spans="44:45">
      <c r="AR675" s="223"/>
      <c r="AS675" s="223"/>
    </row>
    <row r="676" spans="44:45">
      <c r="AR676" s="223"/>
      <c r="AS676" s="223"/>
    </row>
    <row r="677" spans="44:45">
      <c r="AR677" s="223"/>
      <c r="AS677" s="223"/>
    </row>
    <row r="678" spans="44:45">
      <c r="AR678" s="223"/>
      <c r="AS678" s="223"/>
    </row>
    <row r="679" spans="44:45">
      <c r="AR679" s="223"/>
      <c r="AS679" s="223"/>
    </row>
    <row r="680" spans="44:45">
      <c r="AR680" s="223"/>
      <c r="AS680" s="223"/>
    </row>
    <row r="681" spans="44:45">
      <c r="AR681" s="223"/>
      <c r="AS681" s="223"/>
    </row>
    <row r="682" spans="44:45">
      <c r="AR682" s="223"/>
      <c r="AS682" s="223"/>
    </row>
    <row r="683" spans="44:45">
      <c r="AR683" s="223"/>
      <c r="AS683" s="223"/>
    </row>
    <row r="684" spans="44:45">
      <c r="AR684" s="223"/>
      <c r="AS684" s="223"/>
    </row>
    <row r="685" spans="44:45">
      <c r="AR685" s="223"/>
      <c r="AS685" s="223"/>
    </row>
    <row r="686" spans="44:45">
      <c r="AR686" s="223"/>
      <c r="AS686" s="223"/>
    </row>
    <row r="687" spans="44:45">
      <c r="AR687" s="223"/>
      <c r="AS687" s="223"/>
    </row>
    <row r="688" spans="44:45">
      <c r="AR688" s="223"/>
      <c r="AS688" s="223"/>
    </row>
    <row r="689" spans="44:45">
      <c r="AR689" s="223"/>
      <c r="AS689" s="223"/>
    </row>
    <row r="690" spans="44:45">
      <c r="AR690" s="223"/>
      <c r="AS690" s="223"/>
    </row>
    <row r="691" spans="44:45">
      <c r="AR691" s="223"/>
      <c r="AS691" s="223"/>
    </row>
    <row r="692" spans="44:45">
      <c r="AR692" s="223"/>
      <c r="AS692" s="223"/>
    </row>
    <row r="693" spans="44:45">
      <c r="AR693" s="223"/>
      <c r="AS693" s="223"/>
    </row>
    <row r="694" spans="44:45">
      <c r="AR694" s="223"/>
      <c r="AS694" s="223"/>
    </row>
    <row r="695" spans="44:45">
      <c r="AR695" s="223"/>
      <c r="AS695" s="223"/>
    </row>
    <row r="696" spans="44:45">
      <c r="AR696" s="223"/>
      <c r="AS696" s="223"/>
    </row>
    <row r="697" spans="44:45">
      <c r="AR697" s="223"/>
      <c r="AS697" s="223"/>
    </row>
    <row r="698" spans="44:45">
      <c r="AR698" s="223"/>
      <c r="AS698" s="223"/>
    </row>
    <row r="699" spans="44:45">
      <c r="AR699" s="223"/>
      <c r="AS699" s="223"/>
    </row>
    <row r="700" spans="44:45">
      <c r="AR700" s="223"/>
      <c r="AS700" s="223"/>
    </row>
    <row r="701" spans="44:45">
      <c r="AR701" s="223"/>
      <c r="AS701" s="223"/>
    </row>
    <row r="702" spans="44:45">
      <c r="AR702" s="223"/>
      <c r="AS702" s="223"/>
    </row>
    <row r="703" spans="44:45">
      <c r="AR703" s="223"/>
      <c r="AS703" s="223"/>
    </row>
    <row r="704" spans="44:45">
      <c r="AR704" s="223"/>
      <c r="AS704" s="223"/>
    </row>
    <row r="705" spans="44:45">
      <c r="AR705" s="223"/>
      <c r="AS705" s="223"/>
    </row>
    <row r="706" spans="44:45">
      <c r="AR706" s="223"/>
      <c r="AS706" s="223"/>
    </row>
    <row r="707" spans="44:45">
      <c r="AR707" s="223"/>
      <c r="AS707" s="223"/>
    </row>
    <row r="708" spans="44:45">
      <c r="AR708" s="223"/>
      <c r="AS708" s="223"/>
    </row>
    <row r="709" spans="44:45">
      <c r="AR709" s="223"/>
      <c r="AS709" s="223"/>
    </row>
    <row r="710" spans="44:45">
      <c r="AR710" s="223"/>
      <c r="AS710" s="223"/>
    </row>
    <row r="711" spans="44:45">
      <c r="AR711" s="223"/>
      <c r="AS711" s="223"/>
    </row>
    <row r="712" spans="44:45">
      <c r="AR712" s="223"/>
      <c r="AS712" s="223"/>
    </row>
    <row r="713" spans="44:45">
      <c r="AR713" s="223"/>
      <c r="AS713" s="223"/>
    </row>
    <row r="714" spans="44:45">
      <c r="AR714" s="223"/>
      <c r="AS714" s="223"/>
    </row>
    <row r="715" spans="44:45">
      <c r="AR715" s="223"/>
      <c r="AS715" s="223"/>
    </row>
    <row r="716" spans="44:45">
      <c r="AR716" s="223"/>
      <c r="AS716" s="223"/>
    </row>
    <row r="717" spans="44:45">
      <c r="AR717" s="223"/>
      <c r="AS717" s="223"/>
    </row>
    <row r="718" spans="44:45">
      <c r="AR718" s="223"/>
      <c r="AS718" s="223"/>
    </row>
    <row r="719" spans="44:45">
      <c r="AR719" s="223"/>
      <c r="AS719" s="223"/>
    </row>
    <row r="720" spans="44:45">
      <c r="AR720" s="223"/>
      <c r="AS720" s="223"/>
    </row>
    <row r="721" spans="44:45">
      <c r="AR721" s="223"/>
      <c r="AS721" s="223"/>
    </row>
    <row r="722" spans="44:45">
      <c r="AR722" s="223"/>
      <c r="AS722" s="223"/>
    </row>
    <row r="723" spans="44:45">
      <c r="AR723" s="223"/>
      <c r="AS723" s="223"/>
    </row>
    <row r="724" spans="44:45">
      <c r="AR724" s="223"/>
      <c r="AS724" s="223"/>
    </row>
    <row r="725" spans="44:45">
      <c r="AR725" s="223"/>
      <c r="AS725" s="223"/>
    </row>
    <row r="726" spans="44:45">
      <c r="AR726" s="223"/>
      <c r="AS726" s="223"/>
    </row>
    <row r="727" spans="44:45">
      <c r="AR727" s="223"/>
      <c r="AS727" s="223"/>
    </row>
    <row r="728" spans="44:45">
      <c r="AR728" s="223"/>
      <c r="AS728" s="223"/>
    </row>
    <row r="729" spans="44:45">
      <c r="AR729" s="223"/>
      <c r="AS729" s="223"/>
    </row>
    <row r="730" spans="44:45">
      <c r="AR730" s="223"/>
      <c r="AS730" s="223"/>
    </row>
    <row r="731" spans="44:45">
      <c r="AR731" s="223"/>
      <c r="AS731" s="223"/>
    </row>
    <row r="732" spans="44:45">
      <c r="AR732" s="223"/>
      <c r="AS732" s="223"/>
    </row>
    <row r="733" spans="44:45">
      <c r="AR733" s="223"/>
      <c r="AS733" s="223"/>
    </row>
    <row r="734" spans="44:45">
      <c r="AR734" s="223"/>
      <c r="AS734" s="223"/>
    </row>
    <row r="735" spans="44:45">
      <c r="AR735" s="223"/>
      <c r="AS735" s="223"/>
    </row>
    <row r="736" spans="44:45">
      <c r="AR736" s="223"/>
      <c r="AS736" s="223"/>
    </row>
    <row r="737" spans="44:45">
      <c r="AR737" s="223"/>
      <c r="AS737" s="223"/>
    </row>
    <row r="738" spans="44:45">
      <c r="AR738" s="223"/>
      <c r="AS738" s="223"/>
    </row>
    <row r="739" spans="44:45">
      <c r="AR739" s="223"/>
      <c r="AS739" s="223"/>
    </row>
    <row r="740" spans="44:45">
      <c r="AR740" s="223"/>
      <c r="AS740" s="223"/>
    </row>
    <row r="741" spans="44:45">
      <c r="AR741" s="223"/>
      <c r="AS741" s="223"/>
    </row>
    <row r="742" spans="44:45">
      <c r="AR742" s="223"/>
      <c r="AS742" s="223"/>
    </row>
    <row r="743" spans="44:45">
      <c r="AR743" s="223"/>
      <c r="AS743" s="223"/>
    </row>
    <row r="744" spans="44:45">
      <c r="AR744" s="223"/>
      <c r="AS744" s="223"/>
    </row>
    <row r="745" spans="44:45">
      <c r="AR745" s="223"/>
      <c r="AS745" s="223"/>
    </row>
    <row r="746" spans="44:45">
      <c r="AR746" s="223"/>
      <c r="AS746" s="223"/>
    </row>
    <row r="747" spans="44:45">
      <c r="AR747" s="223"/>
      <c r="AS747" s="223"/>
    </row>
    <row r="748" spans="44:45">
      <c r="AR748" s="223"/>
      <c r="AS748" s="223"/>
    </row>
    <row r="749" spans="44:45">
      <c r="AR749" s="223"/>
      <c r="AS749" s="223"/>
    </row>
    <row r="750" spans="44:45">
      <c r="AR750" s="223"/>
      <c r="AS750" s="223"/>
    </row>
    <row r="751" spans="44:45">
      <c r="AR751" s="223"/>
      <c r="AS751" s="223"/>
    </row>
    <row r="752" spans="44:45">
      <c r="AR752" s="223"/>
      <c r="AS752" s="223"/>
    </row>
    <row r="753" spans="44:45">
      <c r="AR753" s="223"/>
      <c r="AS753" s="223"/>
    </row>
    <row r="754" spans="44:45">
      <c r="AR754" s="223"/>
      <c r="AS754" s="223"/>
    </row>
    <row r="755" spans="44:45">
      <c r="AR755" s="223"/>
      <c r="AS755" s="223"/>
    </row>
    <row r="756" spans="44:45">
      <c r="AR756" s="223"/>
      <c r="AS756" s="223"/>
    </row>
    <row r="757" spans="44:45">
      <c r="AR757" s="223"/>
      <c r="AS757" s="223"/>
    </row>
    <row r="758" spans="44:45">
      <c r="AR758" s="223"/>
      <c r="AS758" s="223"/>
    </row>
    <row r="759" spans="44:45">
      <c r="AR759" s="223"/>
      <c r="AS759" s="223"/>
    </row>
    <row r="760" spans="44:45">
      <c r="AR760" s="223"/>
      <c r="AS760" s="223"/>
    </row>
    <row r="761" spans="44:45">
      <c r="AR761" s="223"/>
      <c r="AS761" s="223"/>
    </row>
    <row r="762" spans="44:45">
      <c r="AR762" s="223"/>
      <c r="AS762" s="223"/>
    </row>
    <row r="763" spans="44:45">
      <c r="AR763" s="223"/>
      <c r="AS763" s="223"/>
    </row>
    <row r="764" spans="44:45">
      <c r="AR764" s="223"/>
      <c r="AS764" s="223"/>
    </row>
    <row r="765" spans="44:45">
      <c r="AR765" s="223"/>
      <c r="AS765" s="223"/>
    </row>
    <row r="766" spans="44:45">
      <c r="AR766" s="223"/>
      <c r="AS766" s="223"/>
    </row>
    <row r="767" spans="44:45">
      <c r="AR767" s="223"/>
      <c r="AS767" s="223"/>
    </row>
    <row r="768" spans="44:45">
      <c r="AR768" s="223"/>
      <c r="AS768" s="223"/>
    </row>
    <row r="769" spans="44:45">
      <c r="AR769" s="223"/>
      <c r="AS769" s="223"/>
    </row>
    <row r="770" spans="44:45">
      <c r="AR770" s="223"/>
      <c r="AS770" s="223"/>
    </row>
    <row r="771" spans="44:45">
      <c r="AR771" s="223"/>
      <c r="AS771" s="223"/>
    </row>
    <row r="772" spans="44:45">
      <c r="AR772" s="223"/>
      <c r="AS772" s="223"/>
    </row>
    <row r="773" spans="44:45">
      <c r="AR773" s="223"/>
      <c r="AS773" s="223"/>
    </row>
    <row r="774" spans="44:45">
      <c r="AR774" s="223"/>
      <c r="AS774" s="223"/>
    </row>
    <row r="775" spans="44:45">
      <c r="AR775" s="223"/>
      <c r="AS775" s="223"/>
    </row>
    <row r="776" spans="44:45">
      <c r="AR776" s="223"/>
      <c r="AS776" s="223"/>
    </row>
    <row r="777" spans="44:45">
      <c r="AR777" s="223"/>
      <c r="AS777" s="223"/>
    </row>
    <row r="778" spans="44:45">
      <c r="AR778" s="223"/>
      <c r="AS778" s="223"/>
    </row>
    <row r="779" spans="44:45">
      <c r="AR779" s="223"/>
      <c r="AS779" s="223"/>
    </row>
    <row r="780" spans="44:45">
      <c r="AR780" s="223"/>
      <c r="AS780" s="223"/>
    </row>
    <row r="781" spans="44:45">
      <c r="AR781" s="223"/>
      <c r="AS781" s="223"/>
    </row>
    <row r="782" spans="44:45">
      <c r="AR782" s="223"/>
      <c r="AS782" s="223"/>
    </row>
    <row r="783" spans="44:45">
      <c r="AR783" s="223"/>
      <c r="AS783" s="223"/>
    </row>
    <row r="784" spans="44:45">
      <c r="AR784" s="223"/>
      <c r="AS784" s="223"/>
    </row>
    <row r="785" spans="44:45">
      <c r="AR785" s="223"/>
      <c r="AS785" s="223"/>
    </row>
    <row r="786" spans="44:45">
      <c r="AR786" s="223"/>
      <c r="AS786" s="223"/>
    </row>
    <row r="787" spans="44:45">
      <c r="AR787" s="223"/>
      <c r="AS787" s="223"/>
    </row>
    <row r="788" spans="44:45">
      <c r="AR788" s="223"/>
      <c r="AS788" s="223"/>
    </row>
    <row r="789" spans="44:45">
      <c r="AR789" s="223"/>
      <c r="AS789" s="223"/>
    </row>
    <row r="790" spans="44:45">
      <c r="AR790" s="223"/>
      <c r="AS790" s="223"/>
    </row>
    <row r="791" spans="44:45">
      <c r="AR791" s="223"/>
      <c r="AS791" s="223"/>
    </row>
    <row r="792" spans="44:45">
      <c r="AR792" s="223"/>
      <c r="AS792" s="223"/>
    </row>
    <row r="793" spans="44:45">
      <c r="AR793" s="223"/>
      <c r="AS793" s="223"/>
    </row>
    <row r="794" spans="44:45">
      <c r="AR794" s="223"/>
      <c r="AS794" s="223"/>
    </row>
    <row r="795" spans="44:45">
      <c r="AR795" s="223"/>
      <c r="AS795" s="223"/>
    </row>
    <row r="796" spans="44:45">
      <c r="AR796" s="223"/>
      <c r="AS796" s="223"/>
    </row>
    <row r="797" spans="44:45">
      <c r="AR797" s="223"/>
      <c r="AS797" s="223"/>
    </row>
    <row r="798" spans="44:45">
      <c r="AR798" s="223"/>
      <c r="AS798" s="223"/>
    </row>
    <row r="799" spans="44:45">
      <c r="AR799" s="223"/>
      <c r="AS799" s="223"/>
    </row>
    <row r="800" spans="44:45">
      <c r="AR800" s="223"/>
      <c r="AS800" s="223"/>
    </row>
    <row r="801" spans="44:45">
      <c r="AR801" s="223"/>
      <c r="AS801" s="223"/>
    </row>
    <row r="802" spans="44:45">
      <c r="AR802" s="223"/>
      <c r="AS802" s="223"/>
    </row>
    <row r="803" spans="44:45">
      <c r="AR803" s="223"/>
      <c r="AS803" s="223"/>
    </row>
    <row r="804" spans="44:45">
      <c r="AR804" s="223"/>
      <c r="AS804" s="223"/>
    </row>
    <row r="805" spans="44:45">
      <c r="AR805" s="223"/>
      <c r="AS805" s="223"/>
    </row>
    <row r="806" spans="44:45">
      <c r="AR806" s="223"/>
      <c r="AS806" s="223"/>
    </row>
    <row r="807" spans="44:45">
      <c r="AR807" s="223"/>
      <c r="AS807" s="223"/>
    </row>
    <row r="808" spans="44:45">
      <c r="AR808" s="223"/>
      <c r="AS808" s="223"/>
    </row>
    <row r="809" spans="44:45">
      <c r="AR809" s="223"/>
      <c r="AS809" s="223"/>
    </row>
    <row r="810" spans="44:45">
      <c r="AR810" s="223"/>
      <c r="AS810" s="223"/>
    </row>
    <row r="811" spans="44:45">
      <c r="AR811" s="223"/>
      <c r="AS811" s="223"/>
    </row>
    <row r="812" spans="44:45">
      <c r="AR812" s="223"/>
      <c r="AS812" s="223"/>
    </row>
    <row r="813" spans="44:45">
      <c r="AR813" s="223"/>
      <c r="AS813" s="223"/>
    </row>
    <row r="814" spans="44:45">
      <c r="AR814" s="223"/>
      <c r="AS814" s="223"/>
    </row>
    <row r="815" spans="44:45">
      <c r="AR815" s="223"/>
      <c r="AS815" s="223"/>
    </row>
    <row r="816" spans="44:45">
      <c r="AR816" s="223"/>
      <c r="AS816" s="223"/>
    </row>
    <row r="817" spans="44:45">
      <c r="AR817" s="223"/>
      <c r="AS817" s="223"/>
    </row>
    <row r="818" spans="44:45">
      <c r="AR818" s="223"/>
      <c r="AS818" s="223"/>
    </row>
    <row r="819" spans="44:45">
      <c r="AR819" s="223"/>
      <c r="AS819" s="223"/>
    </row>
    <row r="820" spans="44:45">
      <c r="AR820" s="223"/>
      <c r="AS820" s="223"/>
    </row>
    <row r="821" spans="44:45">
      <c r="AR821" s="223"/>
      <c r="AS821" s="223"/>
    </row>
    <row r="822" spans="44:45">
      <c r="AR822" s="223"/>
      <c r="AS822" s="223"/>
    </row>
    <row r="823" spans="44:45">
      <c r="AR823" s="223"/>
      <c r="AS823" s="223"/>
    </row>
    <row r="824" spans="44:45">
      <c r="AR824" s="223"/>
      <c r="AS824" s="223"/>
    </row>
    <row r="825" spans="44:45">
      <c r="AR825" s="223"/>
      <c r="AS825" s="223"/>
    </row>
    <row r="826" spans="44:45">
      <c r="AR826" s="223"/>
      <c r="AS826" s="223"/>
    </row>
    <row r="827" spans="44:45">
      <c r="AR827" s="223"/>
      <c r="AS827" s="223"/>
    </row>
    <row r="828" spans="44:45">
      <c r="AR828" s="223"/>
      <c r="AS828" s="223"/>
    </row>
    <row r="829" spans="44:45">
      <c r="AR829" s="223"/>
      <c r="AS829" s="223"/>
    </row>
    <row r="830" spans="44:45">
      <c r="AR830" s="223"/>
      <c r="AS830" s="223"/>
    </row>
    <row r="831" spans="44:45">
      <c r="AR831" s="223"/>
      <c r="AS831" s="223"/>
    </row>
    <row r="832" spans="44:45">
      <c r="AR832" s="223"/>
      <c r="AS832" s="223"/>
    </row>
    <row r="833" spans="44:45">
      <c r="AR833" s="223"/>
      <c r="AS833" s="223"/>
    </row>
    <row r="834" spans="44:45">
      <c r="AR834" s="223"/>
      <c r="AS834" s="223"/>
    </row>
    <row r="835" spans="44:45">
      <c r="AR835" s="223"/>
      <c r="AS835" s="223"/>
    </row>
    <row r="836" spans="44:45">
      <c r="AR836" s="223"/>
      <c r="AS836" s="223"/>
    </row>
    <row r="837" spans="44:45">
      <c r="AR837" s="223"/>
      <c r="AS837" s="223"/>
    </row>
    <row r="838" spans="44:45">
      <c r="AR838" s="223"/>
      <c r="AS838" s="223"/>
    </row>
    <row r="839" spans="44:45">
      <c r="AR839" s="223"/>
      <c r="AS839" s="223"/>
    </row>
    <row r="840" spans="44:45">
      <c r="AR840" s="223"/>
      <c r="AS840" s="223"/>
    </row>
    <row r="841" spans="44:45">
      <c r="AR841" s="223"/>
      <c r="AS841" s="223"/>
    </row>
    <row r="842" spans="44:45">
      <c r="AR842" s="223"/>
      <c r="AS842" s="223"/>
    </row>
    <row r="843" spans="44:45">
      <c r="AR843" s="223"/>
      <c r="AS843" s="223"/>
    </row>
    <row r="844" spans="44:45">
      <c r="AR844" s="223"/>
      <c r="AS844" s="223"/>
    </row>
    <row r="845" spans="44:45">
      <c r="AR845" s="223"/>
      <c r="AS845" s="223"/>
    </row>
    <row r="846" spans="44:45">
      <c r="AR846" s="223"/>
      <c r="AS846" s="223"/>
    </row>
    <row r="847" spans="44:45">
      <c r="AR847" s="223"/>
      <c r="AS847" s="223"/>
    </row>
    <row r="848" spans="44:45">
      <c r="AR848" s="223"/>
      <c r="AS848" s="223"/>
    </row>
    <row r="849" spans="44:45">
      <c r="AR849" s="223"/>
      <c r="AS849" s="223"/>
    </row>
    <row r="850" spans="44:45">
      <c r="AR850" s="223"/>
      <c r="AS850" s="223"/>
    </row>
    <row r="851" spans="44:45">
      <c r="AR851" s="223"/>
      <c r="AS851" s="223"/>
    </row>
    <row r="852" spans="44:45">
      <c r="AR852" s="223"/>
      <c r="AS852" s="223"/>
    </row>
    <row r="853" spans="44:45">
      <c r="AR853" s="223"/>
      <c r="AS853" s="223"/>
    </row>
    <row r="854" spans="44:45">
      <c r="AR854" s="223"/>
      <c r="AS854" s="223"/>
    </row>
    <row r="855" spans="44:45">
      <c r="AR855" s="223"/>
      <c r="AS855" s="223"/>
    </row>
    <row r="856" spans="44:45">
      <c r="AR856" s="223"/>
      <c r="AS856" s="223"/>
    </row>
    <row r="857" spans="44:45">
      <c r="AR857" s="223"/>
      <c r="AS857" s="223"/>
    </row>
    <row r="858" spans="44:45">
      <c r="AR858" s="223"/>
      <c r="AS858" s="223"/>
    </row>
    <row r="859" spans="44:45">
      <c r="AR859" s="223"/>
      <c r="AS859" s="223"/>
    </row>
    <row r="860" spans="44:45">
      <c r="AR860" s="223"/>
      <c r="AS860" s="223"/>
    </row>
    <row r="861" spans="44:45">
      <c r="AR861" s="223"/>
      <c r="AS861" s="223"/>
    </row>
    <row r="862" spans="44:45">
      <c r="AR862" s="223"/>
      <c r="AS862" s="223"/>
    </row>
    <row r="863" spans="44:45">
      <c r="AR863" s="223"/>
      <c r="AS863" s="223"/>
    </row>
    <row r="864" spans="44:45">
      <c r="AR864" s="223"/>
      <c r="AS864" s="223"/>
    </row>
    <row r="865" spans="44:45">
      <c r="AR865" s="223"/>
      <c r="AS865" s="223"/>
    </row>
    <row r="866" spans="44:45">
      <c r="AR866" s="223"/>
      <c r="AS866" s="223"/>
    </row>
    <row r="867" spans="44:45">
      <c r="AR867" s="223"/>
      <c r="AS867" s="223"/>
    </row>
    <row r="868" spans="44:45">
      <c r="AR868" s="223"/>
      <c r="AS868" s="223"/>
    </row>
    <row r="869" spans="44:45">
      <c r="AR869" s="223"/>
      <c r="AS869" s="223"/>
    </row>
    <row r="870" spans="44:45">
      <c r="AR870" s="223"/>
      <c r="AS870" s="223"/>
    </row>
    <row r="871" spans="44:45">
      <c r="AR871" s="223"/>
      <c r="AS871" s="223"/>
    </row>
    <row r="872" spans="44:45">
      <c r="AR872" s="223"/>
      <c r="AS872" s="223"/>
    </row>
    <row r="873" spans="44:45">
      <c r="AR873" s="223"/>
      <c r="AS873" s="223"/>
    </row>
    <row r="874" spans="44:45">
      <c r="AR874" s="223"/>
      <c r="AS874" s="223"/>
    </row>
    <row r="875" spans="44:45">
      <c r="AR875" s="223"/>
      <c r="AS875" s="223"/>
    </row>
    <row r="876" spans="44:45">
      <c r="AR876" s="223"/>
      <c r="AS876" s="223"/>
    </row>
    <row r="877" spans="44:45">
      <c r="AR877" s="223"/>
      <c r="AS877" s="223"/>
    </row>
    <row r="878" spans="44:45">
      <c r="AR878" s="223"/>
      <c r="AS878" s="223"/>
    </row>
    <row r="879" spans="44:45">
      <c r="AR879" s="223"/>
      <c r="AS879" s="223"/>
    </row>
    <row r="880" spans="44:45">
      <c r="AR880" s="223"/>
      <c r="AS880" s="223"/>
    </row>
    <row r="881" spans="44:45">
      <c r="AR881" s="223"/>
      <c r="AS881" s="223"/>
    </row>
    <row r="882" spans="44:45">
      <c r="AR882" s="223"/>
      <c r="AS882" s="223"/>
    </row>
    <row r="883" spans="44:45">
      <c r="AR883" s="223"/>
      <c r="AS883" s="223"/>
    </row>
    <row r="884" spans="44:45">
      <c r="AR884" s="223"/>
      <c r="AS884" s="223"/>
    </row>
    <row r="885" spans="44:45">
      <c r="AR885" s="223"/>
      <c r="AS885" s="223"/>
    </row>
    <row r="886" spans="44:45">
      <c r="AR886" s="223"/>
      <c r="AS886" s="223"/>
    </row>
    <row r="887" spans="44:45">
      <c r="AR887" s="223"/>
      <c r="AS887" s="223"/>
    </row>
    <row r="888" spans="44:45">
      <c r="AR888" s="223"/>
      <c r="AS888" s="223"/>
    </row>
    <row r="889" spans="44:45">
      <c r="AR889" s="223"/>
      <c r="AS889" s="223"/>
    </row>
    <row r="890" spans="44:45">
      <c r="AR890" s="223"/>
      <c r="AS890" s="223"/>
    </row>
    <row r="891" spans="44:45">
      <c r="AR891" s="223"/>
      <c r="AS891" s="223"/>
    </row>
    <row r="892" spans="44:45">
      <c r="AR892" s="223"/>
      <c r="AS892" s="223"/>
    </row>
    <row r="893" spans="44:45">
      <c r="AR893" s="223"/>
      <c r="AS893" s="223"/>
    </row>
    <row r="894" spans="44:45">
      <c r="AR894" s="223"/>
      <c r="AS894" s="223"/>
    </row>
    <row r="895" spans="44:45">
      <c r="AR895" s="223"/>
      <c r="AS895" s="223"/>
    </row>
    <row r="896" spans="44:45">
      <c r="AR896" s="223"/>
      <c r="AS896" s="223"/>
    </row>
    <row r="897" spans="44:45">
      <c r="AR897" s="223"/>
      <c r="AS897" s="223"/>
    </row>
    <row r="898" spans="44:45">
      <c r="AR898" s="223"/>
      <c r="AS898" s="223"/>
    </row>
    <row r="899" spans="44:45">
      <c r="AR899" s="223"/>
      <c r="AS899" s="223"/>
    </row>
    <row r="900" spans="44:45">
      <c r="AR900" s="223"/>
      <c r="AS900" s="223"/>
    </row>
    <row r="901" spans="44:45">
      <c r="AR901" s="223"/>
      <c r="AS901" s="223"/>
    </row>
    <row r="902" spans="44:45">
      <c r="AR902" s="223"/>
      <c r="AS902" s="223"/>
    </row>
    <row r="903" spans="44:45">
      <c r="AR903" s="223"/>
      <c r="AS903" s="223"/>
    </row>
    <row r="904" spans="44:45">
      <c r="AR904" s="223"/>
      <c r="AS904" s="223"/>
    </row>
    <row r="905" spans="44:45">
      <c r="AR905" s="223"/>
      <c r="AS905" s="223"/>
    </row>
    <row r="906" spans="44:45">
      <c r="AR906" s="223"/>
      <c r="AS906" s="223"/>
    </row>
    <row r="907" spans="44:45">
      <c r="AR907" s="223"/>
      <c r="AS907" s="223"/>
    </row>
    <row r="908" spans="44:45">
      <c r="AR908" s="223"/>
      <c r="AS908" s="223"/>
    </row>
    <row r="909" spans="44:45">
      <c r="AR909" s="223"/>
      <c r="AS909" s="223"/>
    </row>
    <row r="910" spans="44:45">
      <c r="AR910" s="223"/>
      <c r="AS910" s="223"/>
    </row>
    <row r="911" spans="44:45">
      <c r="AR911" s="223"/>
      <c r="AS911" s="223"/>
    </row>
    <row r="912" spans="44:45">
      <c r="AR912" s="223"/>
      <c r="AS912" s="223"/>
    </row>
    <row r="913" spans="44:45">
      <c r="AR913" s="223"/>
      <c r="AS913" s="223"/>
    </row>
    <row r="914" spans="44:45">
      <c r="AR914" s="223"/>
      <c r="AS914" s="223"/>
    </row>
    <row r="915" spans="44:45">
      <c r="AR915" s="223"/>
      <c r="AS915" s="223"/>
    </row>
    <row r="916" spans="44:45">
      <c r="AR916" s="223"/>
      <c r="AS916" s="223"/>
    </row>
    <row r="917" spans="44:45">
      <c r="AR917" s="223"/>
      <c r="AS917" s="223"/>
    </row>
    <row r="918" spans="44:45">
      <c r="AR918" s="223"/>
      <c r="AS918" s="223"/>
    </row>
    <row r="919" spans="44:45">
      <c r="AR919" s="223"/>
      <c r="AS919" s="223"/>
    </row>
    <row r="920" spans="44:45">
      <c r="AR920" s="223"/>
      <c r="AS920" s="223"/>
    </row>
    <row r="921" spans="44:45">
      <c r="AR921" s="223"/>
      <c r="AS921" s="223"/>
    </row>
    <row r="922" spans="44:45">
      <c r="AR922" s="223"/>
      <c r="AS922" s="223"/>
    </row>
    <row r="923" spans="44:45">
      <c r="AR923" s="223"/>
      <c r="AS923" s="223"/>
    </row>
    <row r="924" spans="44:45">
      <c r="AR924" s="223"/>
      <c r="AS924" s="223"/>
    </row>
    <row r="925" spans="44:45">
      <c r="AR925" s="223"/>
      <c r="AS925" s="223"/>
    </row>
    <row r="926" spans="44:45">
      <c r="AR926" s="223"/>
      <c r="AS926" s="223"/>
    </row>
    <row r="927" spans="44:45">
      <c r="AR927" s="223"/>
      <c r="AS927" s="223"/>
    </row>
    <row r="928" spans="44:45">
      <c r="AR928" s="223"/>
      <c r="AS928" s="223"/>
    </row>
    <row r="929" spans="44:45">
      <c r="AR929" s="223"/>
      <c r="AS929" s="223"/>
    </row>
    <row r="930" spans="44:45">
      <c r="AR930" s="223"/>
      <c r="AS930" s="223"/>
    </row>
    <row r="931" spans="44:45">
      <c r="AR931" s="223"/>
      <c r="AS931" s="223"/>
    </row>
    <row r="932" spans="44:45">
      <c r="AR932" s="223"/>
      <c r="AS932" s="223"/>
    </row>
    <row r="933" spans="44:45">
      <c r="AR933" s="223"/>
      <c r="AS933" s="223"/>
    </row>
    <row r="934" spans="44:45">
      <c r="AR934" s="223"/>
      <c r="AS934" s="223"/>
    </row>
    <row r="935" spans="44:45">
      <c r="AR935" s="223"/>
      <c r="AS935" s="223"/>
    </row>
    <row r="936" spans="44:45">
      <c r="AR936" s="223"/>
      <c r="AS936" s="223"/>
    </row>
    <row r="937" spans="44:45">
      <c r="AR937" s="223"/>
      <c r="AS937" s="223"/>
    </row>
    <row r="938" spans="44:45">
      <c r="AR938" s="223"/>
      <c r="AS938" s="223"/>
    </row>
    <row r="939" spans="44:45">
      <c r="AR939" s="223"/>
      <c r="AS939" s="223"/>
    </row>
    <row r="940" spans="44:45">
      <c r="AR940" s="223"/>
      <c r="AS940" s="223"/>
    </row>
    <row r="941" spans="44:45">
      <c r="AR941" s="223"/>
      <c r="AS941" s="223"/>
    </row>
    <row r="942" spans="44:45">
      <c r="AR942" s="223"/>
      <c r="AS942" s="223"/>
    </row>
    <row r="943" spans="44:45">
      <c r="AR943" s="223"/>
      <c r="AS943" s="223"/>
    </row>
    <row r="944" spans="44:45">
      <c r="AR944" s="223"/>
      <c r="AS944" s="223"/>
    </row>
    <row r="945" spans="44:45">
      <c r="AR945" s="223"/>
      <c r="AS945" s="223"/>
    </row>
    <row r="946" spans="44:45">
      <c r="AR946" s="223"/>
      <c r="AS946" s="223"/>
    </row>
    <row r="947" spans="44:45">
      <c r="AR947" s="223"/>
      <c r="AS947" s="223"/>
    </row>
    <row r="948" spans="44:45">
      <c r="AR948" s="223"/>
      <c r="AS948" s="223"/>
    </row>
    <row r="949" spans="44:45">
      <c r="AR949" s="223"/>
      <c r="AS949" s="223"/>
    </row>
    <row r="950" spans="44:45">
      <c r="AR950" s="223"/>
      <c r="AS950" s="223"/>
    </row>
    <row r="951" spans="44:45">
      <c r="AR951" s="223"/>
      <c r="AS951" s="223"/>
    </row>
    <row r="952" spans="44:45">
      <c r="AR952" s="223"/>
      <c r="AS952" s="223"/>
    </row>
    <row r="953" spans="44:45">
      <c r="AR953" s="223"/>
      <c r="AS953" s="223"/>
    </row>
    <row r="954" spans="44:45">
      <c r="AR954" s="223"/>
      <c r="AS954" s="223"/>
    </row>
    <row r="955" spans="44:45">
      <c r="AR955" s="223"/>
      <c r="AS955" s="223"/>
    </row>
    <row r="956" spans="44:45">
      <c r="AR956" s="223"/>
      <c r="AS956" s="223"/>
    </row>
    <row r="957" spans="44:45">
      <c r="AR957" s="223"/>
      <c r="AS957" s="223"/>
    </row>
    <row r="958" spans="44:45">
      <c r="AR958" s="223"/>
      <c r="AS958" s="223"/>
    </row>
    <row r="959" spans="44:45">
      <c r="AR959" s="223"/>
      <c r="AS959" s="223"/>
    </row>
    <row r="960" spans="44:45">
      <c r="AR960" s="223"/>
      <c r="AS960" s="223"/>
    </row>
    <row r="961" spans="44:45">
      <c r="AR961" s="223"/>
      <c r="AS961" s="223"/>
    </row>
    <row r="962" spans="44:45">
      <c r="AR962" s="223"/>
      <c r="AS962" s="223"/>
    </row>
    <row r="963" spans="44:45">
      <c r="AR963" s="223"/>
      <c r="AS963" s="223"/>
    </row>
    <row r="964" spans="44:45">
      <c r="AR964" s="223"/>
      <c r="AS964" s="223"/>
    </row>
    <row r="965" spans="44:45">
      <c r="AR965" s="223"/>
      <c r="AS965" s="223"/>
    </row>
    <row r="966" spans="44:45">
      <c r="AR966" s="223"/>
      <c r="AS966" s="223"/>
    </row>
    <row r="967" spans="44:45">
      <c r="AR967" s="223"/>
      <c r="AS967" s="223"/>
    </row>
    <row r="968" spans="44:45">
      <c r="AR968" s="223"/>
      <c r="AS968" s="223"/>
    </row>
    <row r="969" spans="44:45">
      <c r="AR969" s="223"/>
      <c r="AS969" s="223"/>
    </row>
    <row r="970" spans="44:45">
      <c r="AR970" s="223"/>
      <c r="AS970" s="223"/>
    </row>
    <row r="971" spans="44:45">
      <c r="AR971" s="223"/>
      <c r="AS971" s="223"/>
    </row>
    <row r="972" spans="44:45">
      <c r="AR972" s="223"/>
      <c r="AS972" s="223"/>
    </row>
    <row r="973" spans="44:45">
      <c r="AR973" s="223"/>
      <c r="AS973" s="223"/>
    </row>
    <row r="974" spans="44:45">
      <c r="AR974" s="223"/>
      <c r="AS974" s="223"/>
    </row>
    <row r="975" spans="44:45">
      <c r="AR975" s="223"/>
      <c r="AS975" s="223"/>
    </row>
    <row r="976" spans="44:45">
      <c r="AR976" s="223"/>
      <c r="AS976" s="223"/>
    </row>
    <row r="977" spans="44:45">
      <c r="AR977" s="223"/>
      <c r="AS977" s="223"/>
    </row>
    <row r="978" spans="44:45">
      <c r="AR978" s="223"/>
      <c r="AS978" s="223"/>
    </row>
    <row r="979" spans="44:45">
      <c r="AR979" s="223"/>
      <c r="AS979" s="223"/>
    </row>
    <row r="980" spans="44:45">
      <c r="AR980" s="223"/>
      <c r="AS980" s="223"/>
    </row>
    <row r="981" spans="44:45">
      <c r="AR981" s="223"/>
      <c r="AS981" s="223"/>
    </row>
    <row r="982" spans="44:45">
      <c r="AR982" s="223"/>
      <c r="AS982" s="223"/>
    </row>
    <row r="983" spans="44:45">
      <c r="AR983" s="223"/>
      <c r="AS983" s="223"/>
    </row>
    <row r="984" spans="44:45">
      <c r="AR984" s="223"/>
      <c r="AS984" s="223"/>
    </row>
    <row r="985" spans="44:45">
      <c r="AR985" s="223"/>
      <c r="AS985" s="223"/>
    </row>
    <row r="986" spans="44:45">
      <c r="AR986" s="223"/>
      <c r="AS986" s="223"/>
    </row>
    <row r="987" spans="44:45">
      <c r="AR987" s="223"/>
      <c r="AS987" s="223"/>
    </row>
    <row r="988" spans="44:45">
      <c r="AR988" s="223"/>
      <c r="AS988" s="223"/>
    </row>
    <row r="989" spans="44:45">
      <c r="AR989" s="223"/>
      <c r="AS989" s="223"/>
    </row>
    <row r="990" spans="44:45">
      <c r="AR990" s="223"/>
      <c r="AS990" s="223"/>
    </row>
    <row r="991" spans="44:45">
      <c r="AR991" s="223"/>
      <c r="AS991" s="223"/>
    </row>
    <row r="992" spans="44:45">
      <c r="AR992" s="223"/>
      <c r="AS992" s="223"/>
    </row>
    <row r="993" spans="44:45">
      <c r="AR993" s="223"/>
      <c r="AS993" s="223"/>
    </row>
    <row r="994" spans="44:45">
      <c r="AR994" s="223"/>
      <c r="AS994" s="223"/>
    </row>
    <row r="995" spans="44:45">
      <c r="AR995" s="223"/>
      <c r="AS995" s="223"/>
    </row>
    <row r="996" spans="44:45">
      <c r="AR996" s="223"/>
      <c r="AS996" s="223"/>
    </row>
    <row r="997" spans="44:45">
      <c r="AR997" s="223"/>
      <c r="AS997" s="223"/>
    </row>
    <row r="998" spans="44:45">
      <c r="AR998" s="223"/>
      <c r="AS998" s="223"/>
    </row>
    <row r="999" spans="44:45">
      <c r="AR999" s="223"/>
      <c r="AS999" s="223"/>
    </row>
    <row r="1000" spans="44:45">
      <c r="AR1000" s="223"/>
      <c r="AS1000" s="223"/>
    </row>
    <row r="1001" spans="44:45">
      <c r="AR1001" s="223"/>
      <c r="AS1001" s="223"/>
    </row>
    <row r="1002" spans="44:45">
      <c r="AR1002" s="223"/>
      <c r="AS1002" s="223"/>
    </row>
    <row r="1003" spans="44:45">
      <c r="AR1003" s="223"/>
      <c r="AS1003" s="223"/>
    </row>
    <row r="1004" spans="44:45">
      <c r="AR1004" s="223"/>
      <c r="AS1004" s="223"/>
    </row>
    <row r="1005" spans="44:45">
      <c r="AR1005" s="223"/>
      <c r="AS1005" s="223"/>
    </row>
    <row r="1006" spans="44:45">
      <c r="AR1006" s="223"/>
      <c r="AS1006" s="223"/>
    </row>
    <row r="1007" spans="44:45">
      <c r="AR1007" s="223"/>
      <c r="AS1007" s="223"/>
    </row>
    <row r="1008" spans="44:45">
      <c r="AR1008" s="223"/>
      <c r="AS1008" s="223"/>
    </row>
    <row r="1009" spans="44:45">
      <c r="AR1009" s="223"/>
      <c r="AS1009" s="223"/>
    </row>
    <row r="1010" spans="44:45">
      <c r="AR1010" s="223"/>
      <c r="AS1010" s="223"/>
    </row>
    <row r="1011" spans="44:45">
      <c r="AR1011" s="223"/>
      <c r="AS1011" s="223"/>
    </row>
    <row r="1012" spans="44:45">
      <c r="AR1012" s="223"/>
      <c r="AS1012" s="223"/>
    </row>
    <row r="1013" spans="44:45">
      <c r="AR1013" s="223"/>
      <c r="AS1013" s="223"/>
    </row>
    <row r="1014" spans="44:45">
      <c r="AR1014" s="223"/>
      <c r="AS1014" s="223"/>
    </row>
    <row r="1015" spans="44:45">
      <c r="AR1015" s="223"/>
      <c r="AS1015" s="223"/>
    </row>
    <row r="1016" spans="44:45">
      <c r="AR1016" s="223"/>
      <c r="AS1016" s="223"/>
    </row>
    <row r="1017" spans="44:45">
      <c r="AR1017" s="223"/>
      <c r="AS1017" s="223"/>
    </row>
    <row r="1018" spans="44:45">
      <c r="AR1018" s="223"/>
      <c r="AS1018" s="223"/>
    </row>
    <row r="1019" spans="44:45">
      <c r="AR1019" s="223"/>
      <c r="AS1019" s="223"/>
    </row>
    <row r="1020" spans="44:45">
      <c r="AR1020" s="223"/>
      <c r="AS1020" s="223"/>
    </row>
    <row r="1021" spans="44:45">
      <c r="AR1021" s="223"/>
      <c r="AS1021" s="223"/>
    </row>
    <row r="1022" spans="44:45">
      <c r="AR1022" s="223"/>
      <c r="AS1022" s="223"/>
    </row>
    <row r="1023" spans="44:45">
      <c r="AR1023" s="223"/>
      <c r="AS1023" s="223"/>
    </row>
    <row r="1024" spans="44:45">
      <c r="AR1024" s="223"/>
      <c r="AS1024" s="223"/>
    </row>
    <row r="1025" spans="44:45">
      <c r="AR1025" s="223"/>
      <c r="AS1025" s="223"/>
    </row>
    <row r="1026" spans="44:45">
      <c r="AR1026" s="223"/>
      <c r="AS1026" s="223"/>
    </row>
    <row r="1027" spans="44:45">
      <c r="AR1027" s="223"/>
      <c r="AS1027" s="223"/>
    </row>
    <row r="1028" spans="44:45">
      <c r="AR1028" s="223"/>
      <c r="AS1028" s="223"/>
    </row>
    <row r="1029" spans="44:45">
      <c r="AR1029" s="223"/>
      <c r="AS1029" s="223"/>
    </row>
    <row r="1030" spans="44:45">
      <c r="AR1030" s="223"/>
      <c r="AS1030" s="223"/>
    </row>
    <row r="1031" spans="44:45">
      <c r="AR1031" s="223"/>
      <c r="AS1031" s="223"/>
    </row>
    <row r="1032" spans="44:45">
      <c r="AR1032" s="223"/>
      <c r="AS1032" s="223"/>
    </row>
    <row r="1033" spans="44:45">
      <c r="AR1033" s="223"/>
      <c r="AS1033" s="223"/>
    </row>
    <row r="1034" spans="44:45">
      <c r="AR1034" s="223"/>
      <c r="AS1034" s="223"/>
    </row>
    <row r="1035" spans="44:45">
      <c r="AR1035" s="223"/>
      <c r="AS1035" s="223"/>
    </row>
    <row r="1036" spans="44:45">
      <c r="AR1036" s="223"/>
      <c r="AS1036" s="223"/>
    </row>
    <row r="1037" spans="44:45">
      <c r="AR1037" s="223"/>
      <c r="AS1037" s="223"/>
    </row>
    <row r="1038" spans="44:45">
      <c r="AR1038" s="223"/>
      <c r="AS1038" s="223"/>
    </row>
    <row r="1039" spans="44:45">
      <c r="AR1039" s="223"/>
      <c r="AS1039" s="223"/>
    </row>
    <row r="1040" spans="44:45">
      <c r="AR1040" s="223"/>
      <c r="AS1040" s="223"/>
    </row>
    <row r="1041" spans="44:45">
      <c r="AR1041" s="223"/>
      <c r="AS1041" s="223"/>
    </row>
    <row r="1042" spans="44:45">
      <c r="AR1042" s="223"/>
      <c r="AS1042" s="223"/>
    </row>
    <row r="1043" spans="44:45">
      <c r="AR1043" s="223"/>
      <c r="AS1043" s="223"/>
    </row>
    <row r="1044" spans="44:45">
      <c r="AR1044" s="223"/>
      <c r="AS1044" s="223"/>
    </row>
    <row r="1045" spans="44:45">
      <c r="AR1045" s="223"/>
      <c r="AS1045" s="223"/>
    </row>
    <row r="1046" spans="44:45">
      <c r="AR1046" s="223"/>
      <c r="AS1046" s="223"/>
    </row>
    <row r="1047" spans="44:45">
      <c r="AR1047" s="223"/>
      <c r="AS1047" s="223"/>
    </row>
    <row r="1048" spans="44:45">
      <c r="AR1048" s="223"/>
      <c r="AS1048" s="223"/>
    </row>
    <row r="1049" spans="44:45">
      <c r="AR1049" s="223"/>
      <c r="AS1049" s="223"/>
    </row>
    <row r="1050" spans="44:45">
      <c r="AR1050" s="223"/>
      <c r="AS1050" s="223"/>
    </row>
    <row r="1051" spans="44:45">
      <c r="AR1051" s="223"/>
      <c r="AS1051" s="223"/>
    </row>
    <row r="1052" spans="44:45">
      <c r="AR1052" s="223"/>
      <c r="AS1052" s="223"/>
    </row>
    <row r="1053" spans="44:45">
      <c r="AR1053" s="223"/>
      <c r="AS1053" s="223"/>
    </row>
    <row r="1054" spans="44:45">
      <c r="AR1054" s="223"/>
      <c r="AS1054" s="223"/>
    </row>
    <row r="1055" spans="44:45">
      <c r="AR1055" s="223"/>
      <c r="AS1055" s="223"/>
    </row>
    <row r="1056" spans="44:45">
      <c r="AR1056" s="223"/>
      <c r="AS1056" s="223"/>
    </row>
    <row r="1057" spans="44:45">
      <c r="AR1057" s="223"/>
      <c r="AS1057" s="223"/>
    </row>
    <row r="1058" spans="44:45">
      <c r="AR1058" s="223"/>
      <c r="AS1058" s="223"/>
    </row>
    <row r="1059" spans="44:45">
      <c r="AR1059" s="223"/>
      <c r="AS1059" s="223"/>
    </row>
    <row r="1060" spans="44:45">
      <c r="AR1060" s="223"/>
      <c r="AS1060" s="223"/>
    </row>
    <row r="1061" spans="44:45">
      <c r="AR1061" s="223"/>
      <c r="AS1061" s="223"/>
    </row>
    <row r="1062" spans="44:45">
      <c r="AR1062" s="223"/>
      <c r="AS1062" s="223"/>
    </row>
    <row r="1063" spans="44:45">
      <c r="AR1063" s="223"/>
      <c r="AS1063" s="223"/>
    </row>
    <row r="1064" spans="44:45">
      <c r="AR1064" s="223"/>
      <c r="AS1064" s="223"/>
    </row>
    <row r="1065" spans="44:45">
      <c r="AR1065" s="223"/>
      <c r="AS1065" s="223"/>
    </row>
    <row r="1066" spans="44:45">
      <c r="AR1066" s="223"/>
      <c r="AS1066" s="223"/>
    </row>
    <row r="1067" spans="44:45">
      <c r="AR1067" s="223"/>
      <c r="AS1067" s="223"/>
    </row>
    <row r="1068" spans="44:45">
      <c r="AR1068" s="223"/>
      <c r="AS1068" s="223"/>
    </row>
    <row r="1069" spans="44:45">
      <c r="AR1069" s="223"/>
      <c r="AS1069" s="223"/>
    </row>
    <row r="1070" spans="44:45">
      <c r="AR1070" s="223"/>
      <c r="AS1070" s="223"/>
    </row>
    <row r="1071" spans="44:45">
      <c r="AR1071" s="223"/>
      <c r="AS1071" s="223"/>
    </row>
    <row r="1072" spans="44:45">
      <c r="AR1072" s="223"/>
      <c r="AS1072" s="223"/>
    </row>
    <row r="1073" spans="44:45">
      <c r="AR1073" s="223"/>
      <c r="AS1073" s="223"/>
    </row>
    <row r="1074" spans="44:45">
      <c r="AR1074" s="223"/>
      <c r="AS1074" s="223"/>
    </row>
    <row r="1075" spans="44:45">
      <c r="AR1075" s="223"/>
      <c r="AS1075" s="223"/>
    </row>
    <row r="1076" spans="44:45">
      <c r="AR1076" s="223"/>
      <c r="AS1076" s="223"/>
    </row>
    <row r="1077" spans="44:45">
      <c r="AR1077" s="223"/>
      <c r="AS1077" s="223"/>
    </row>
    <row r="1078" spans="44:45">
      <c r="AR1078" s="223"/>
      <c r="AS1078" s="223"/>
    </row>
    <row r="1079" spans="44:45">
      <c r="AR1079" s="223"/>
      <c r="AS1079" s="223"/>
    </row>
    <row r="1080" spans="44:45">
      <c r="AR1080" s="223"/>
      <c r="AS1080" s="223"/>
    </row>
    <row r="1081" spans="44:45">
      <c r="AR1081" s="223"/>
      <c r="AS1081" s="223"/>
    </row>
    <row r="1082" spans="44:45">
      <c r="AR1082" s="223"/>
      <c r="AS1082" s="223"/>
    </row>
    <row r="1083" spans="44:45">
      <c r="AR1083" s="223"/>
      <c r="AS1083" s="223"/>
    </row>
    <row r="1084" spans="44:45">
      <c r="AR1084" s="223"/>
      <c r="AS1084" s="223"/>
    </row>
    <row r="1085" spans="44:45">
      <c r="AR1085" s="223"/>
      <c r="AS1085" s="223"/>
    </row>
    <row r="1086" spans="44:45">
      <c r="AR1086" s="223"/>
      <c r="AS1086" s="223"/>
    </row>
    <row r="1087" spans="44:45">
      <c r="AR1087" s="223"/>
      <c r="AS1087" s="223"/>
    </row>
    <row r="1088" spans="44:45">
      <c r="AR1088" s="223"/>
      <c r="AS1088" s="223"/>
    </row>
    <row r="1089" spans="44:45">
      <c r="AR1089" s="223"/>
      <c r="AS1089" s="223"/>
    </row>
    <row r="1090" spans="44:45">
      <c r="AR1090" s="223"/>
      <c r="AS1090" s="223"/>
    </row>
    <row r="1091" spans="44:45">
      <c r="AR1091" s="223"/>
      <c r="AS1091" s="223"/>
    </row>
    <row r="1092" spans="44:45">
      <c r="AR1092" s="223"/>
      <c r="AS1092" s="223"/>
    </row>
    <row r="1093" spans="44:45">
      <c r="AR1093" s="223"/>
      <c r="AS1093" s="223"/>
    </row>
    <row r="1094" spans="44:45">
      <c r="AR1094" s="223"/>
      <c r="AS1094" s="223"/>
    </row>
    <row r="1095" spans="44:45">
      <c r="AR1095" s="223"/>
      <c r="AS1095" s="223"/>
    </row>
    <row r="1096" spans="44:45">
      <c r="AR1096" s="223"/>
      <c r="AS1096" s="223"/>
    </row>
    <row r="1097" spans="44:45">
      <c r="AR1097" s="223"/>
      <c r="AS1097" s="223"/>
    </row>
    <row r="1098" spans="44:45">
      <c r="AR1098" s="223"/>
      <c r="AS1098" s="223"/>
    </row>
    <row r="1099" spans="44:45">
      <c r="AR1099" s="223"/>
      <c r="AS1099" s="223"/>
    </row>
    <row r="1100" spans="44:45">
      <c r="AR1100" s="223"/>
      <c r="AS1100" s="223"/>
    </row>
    <row r="1101" spans="44:45">
      <c r="AR1101" s="223"/>
      <c r="AS1101" s="223"/>
    </row>
    <row r="1102" spans="44:45">
      <c r="AR1102" s="223"/>
      <c r="AS1102" s="223"/>
    </row>
    <row r="1103" spans="44:45">
      <c r="AR1103" s="223"/>
      <c r="AS1103" s="223"/>
    </row>
    <row r="1104" spans="44:45">
      <c r="AR1104" s="223"/>
      <c r="AS1104" s="223"/>
    </row>
    <row r="1105" spans="44:45">
      <c r="AR1105" s="223"/>
      <c r="AS1105" s="223"/>
    </row>
    <row r="1106" spans="44:45">
      <c r="AR1106" s="223"/>
      <c r="AS1106" s="223"/>
    </row>
    <row r="1107" spans="44:45">
      <c r="AR1107" s="223"/>
      <c r="AS1107" s="223"/>
    </row>
    <row r="1108" spans="44:45">
      <c r="AR1108" s="223"/>
      <c r="AS1108" s="223"/>
    </row>
    <row r="1109" spans="44:45">
      <c r="AR1109" s="223"/>
      <c r="AS1109" s="223"/>
    </row>
    <row r="1110" spans="44:45">
      <c r="AR1110" s="223"/>
      <c r="AS1110" s="223"/>
    </row>
    <row r="1111" spans="44:45">
      <c r="AR1111" s="223"/>
      <c r="AS1111" s="223"/>
    </row>
    <row r="1112" spans="44:45">
      <c r="AR1112" s="223"/>
      <c r="AS1112" s="223"/>
    </row>
    <row r="1113" spans="44:45">
      <c r="AR1113" s="223"/>
      <c r="AS1113" s="223"/>
    </row>
    <row r="1114" spans="44:45">
      <c r="AR1114" s="223"/>
      <c r="AS1114" s="223"/>
    </row>
    <row r="1115" spans="44:45">
      <c r="AR1115" s="223"/>
      <c r="AS1115" s="223"/>
    </row>
    <row r="1116" spans="44:45">
      <c r="AR1116" s="223"/>
      <c r="AS1116" s="223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G136"/>
  <sheetViews>
    <sheetView zoomScaleNormal="100" workbookViewId="0">
      <pane xSplit="5" ySplit="4" topLeftCell="F106" activePane="bottomRight" state="frozen"/>
      <selection activeCell="A3" sqref="A3:F46"/>
      <selection pane="topRight" activeCell="A3" sqref="A3:F46"/>
      <selection pane="bottomLeft" activeCell="A3" sqref="A3:F46"/>
      <selection pane="bottomRight" activeCell="A128" sqref="A128"/>
    </sheetView>
  </sheetViews>
  <sheetFormatPr defaultColWidth="8.85546875" defaultRowHeight="15"/>
  <cols>
    <col min="1" max="1" width="11.140625" style="137" customWidth="1"/>
    <col min="2" max="2" width="11.140625" style="138" customWidth="1"/>
    <col min="3" max="3" width="12.140625" style="138" customWidth="1"/>
    <col min="4" max="4" width="15.85546875" style="138" customWidth="1"/>
    <col min="5" max="5" width="8.85546875" style="138"/>
    <col min="6" max="6" width="13.140625" style="138" bestFit="1" customWidth="1"/>
    <col min="7" max="7" width="12.42578125" style="137" bestFit="1" customWidth="1"/>
    <col min="8" max="23" width="20.85546875" style="137" customWidth="1"/>
    <col min="24" max="123" width="20.85546875" style="138" customWidth="1"/>
    <col min="124" max="137" width="20.85546875" style="137" customWidth="1"/>
    <col min="138" max="138" width="15.140625" style="137" bestFit="1" customWidth="1"/>
    <col min="139" max="139" width="18" style="138" customWidth="1"/>
    <col min="140" max="140" width="10.140625" style="138" bestFit="1" customWidth="1"/>
    <col min="141" max="141" width="18.140625" style="138" customWidth="1"/>
    <col min="142" max="142" width="10.140625" style="138" bestFit="1" customWidth="1"/>
    <col min="143" max="143" width="12.42578125" style="138" customWidth="1"/>
    <col min="144" max="144" width="9.85546875" style="138" bestFit="1" customWidth="1"/>
    <col min="145" max="145" width="8.85546875" style="138" customWidth="1"/>
    <col min="146" max="146" width="9.5703125" style="138" bestFit="1" customWidth="1"/>
    <col min="147" max="147" width="8.85546875" style="138" customWidth="1"/>
    <col min="148" max="148" width="14.140625" style="138" bestFit="1" customWidth="1"/>
    <col min="149" max="149" width="16.42578125" style="138" bestFit="1" customWidth="1"/>
    <col min="150" max="150" width="17.140625" style="155" customWidth="1"/>
    <col min="151" max="151" width="13.42578125" style="138" customWidth="1"/>
    <col min="152" max="152" width="13.140625" style="138" customWidth="1"/>
    <col min="153" max="153" width="20.85546875" style="138" customWidth="1"/>
    <col min="154" max="154" width="23.42578125" style="138" customWidth="1"/>
    <col min="155" max="155" width="20.140625" style="138" customWidth="1"/>
    <col min="156" max="156" width="13.42578125" style="138" customWidth="1"/>
    <col min="157" max="157" width="15.85546875" style="138" customWidth="1"/>
    <col min="158" max="158" width="13.85546875" style="138" customWidth="1"/>
    <col min="159" max="159" width="11" style="138" customWidth="1"/>
    <col min="160" max="160" width="16.140625" style="138" customWidth="1"/>
    <col min="161" max="161" width="147.28515625" style="138" bestFit="1" customWidth="1"/>
    <col min="162" max="162" width="10.28515625" style="138" customWidth="1"/>
    <col min="163" max="163" width="12.7109375" style="138" customWidth="1"/>
    <col min="164" max="16384" width="8.85546875" style="138"/>
  </cols>
  <sheetData>
    <row r="1" spans="1:163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</row>
    <row r="2" spans="1:163" ht="15.95" customHeight="1">
      <c r="A2" s="5"/>
      <c r="B2"/>
      <c r="C2"/>
      <c r="D2"/>
      <c r="E2"/>
      <c r="F2" s="5"/>
      <c r="G2" s="5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89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89"/>
      <c r="BX2" s="289"/>
      <c r="BY2" s="289"/>
      <c r="BZ2" s="289"/>
      <c r="CA2" s="289"/>
      <c r="CB2" s="289"/>
      <c r="CC2" s="289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3"/>
      <c r="EU2"/>
      <c r="EV2"/>
      <c r="EW2" s="62"/>
      <c r="EX2"/>
      <c r="EY2"/>
      <c r="EZ2"/>
      <c r="FA2"/>
      <c r="FB2"/>
      <c r="FC2"/>
      <c r="FD2"/>
      <c r="FE2"/>
      <c r="FF2"/>
      <c r="FG2"/>
    </row>
    <row r="3" spans="1:163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45"/>
      <c r="EJ3" s="345"/>
      <c r="EK3" s="345"/>
      <c r="EL3" s="345"/>
      <c r="EM3" s="345"/>
      <c r="EN3" s="345"/>
      <c r="EO3" s="345"/>
      <c r="EP3" s="345"/>
      <c r="EQ3" s="345"/>
      <c r="ER3" s="345"/>
      <c r="ES3" s="345"/>
      <c r="ET3" s="345"/>
      <c r="EU3" s="345"/>
      <c r="EV3" s="345"/>
      <c r="EW3" s="345"/>
      <c r="EX3" s="345"/>
      <c r="EY3" s="345"/>
      <c r="EZ3" s="345"/>
      <c r="FA3" s="345"/>
      <c r="FB3" s="345"/>
      <c r="FC3" s="345"/>
      <c r="FD3"/>
      <c r="FE3"/>
      <c r="FF3"/>
      <c r="FG3"/>
    </row>
    <row r="4" spans="1:163" s="139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3" t="s">
        <v>117</v>
      </c>
      <c r="I4" s="143" t="s">
        <v>118</v>
      </c>
      <c r="J4" s="143" t="s">
        <v>119</v>
      </c>
      <c r="K4" s="143" t="s">
        <v>120</v>
      </c>
      <c r="L4" s="143" t="s">
        <v>121</v>
      </c>
      <c r="M4" s="143" t="s">
        <v>122</v>
      </c>
      <c r="N4" s="143" t="s">
        <v>123</v>
      </c>
      <c r="O4" s="143" t="s">
        <v>124</v>
      </c>
      <c r="P4" s="143" t="s">
        <v>125</v>
      </c>
      <c r="Q4" s="143" t="s">
        <v>126</v>
      </c>
      <c r="R4" s="143" t="s">
        <v>127</v>
      </c>
      <c r="S4" s="143" t="s">
        <v>128</v>
      </c>
      <c r="T4" s="143" t="s">
        <v>129</v>
      </c>
      <c r="U4" s="143" t="s">
        <v>130</v>
      </c>
      <c r="V4" s="143" t="s">
        <v>131</v>
      </c>
      <c r="W4" s="143" t="s">
        <v>132</v>
      </c>
      <c r="X4" s="144" t="s">
        <v>133</v>
      </c>
      <c r="Y4" s="144" t="s">
        <v>134</v>
      </c>
      <c r="Z4" s="144" t="s">
        <v>135</v>
      </c>
      <c r="AA4" s="144" t="s">
        <v>136</v>
      </c>
      <c r="AB4" s="144" t="s">
        <v>137</v>
      </c>
      <c r="AC4" s="144" t="s">
        <v>138</v>
      </c>
      <c r="AD4" s="144" t="s">
        <v>139</v>
      </c>
      <c r="AE4" s="144" t="s">
        <v>140</v>
      </c>
      <c r="AF4" s="144" t="s">
        <v>141</v>
      </c>
      <c r="AG4" s="144" t="s">
        <v>142</v>
      </c>
      <c r="AH4" s="144" t="s">
        <v>143</v>
      </c>
      <c r="AI4" s="144" t="s">
        <v>144</v>
      </c>
      <c r="AJ4" s="145" t="s">
        <v>145</v>
      </c>
      <c r="AK4" s="145" t="s">
        <v>146</v>
      </c>
      <c r="AL4" s="145" t="s">
        <v>147</v>
      </c>
      <c r="AM4" s="145" t="s">
        <v>148</v>
      </c>
      <c r="AN4" s="145" t="s">
        <v>149</v>
      </c>
      <c r="AO4" s="145" t="s">
        <v>150</v>
      </c>
      <c r="AP4" s="145" t="s">
        <v>151</v>
      </c>
      <c r="AQ4" s="145" t="s">
        <v>152</v>
      </c>
      <c r="AR4" s="145" t="s">
        <v>153</v>
      </c>
      <c r="AS4" s="145" t="s">
        <v>154</v>
      </c>
      <c r="AT4" s="145" t="s">
        <v>155</v>
      </c>
      <c r="AU4" s="145" t="s">
        <v>156</v>
      </c>
      <c r="AV4" s="145" t="s">
        <v>157</v>
      </c>
      <c r="AW4" s="145" t="s">
        <v>158</v>
      </c>
      <c r="AX4" s="145" t="s">
        <v>159</v>
      </c>
      <c r="AY4" s="145" t="s">
        <v>160</v>
      </c>
      <c r="AZ4" s="145" t="s">
        <v>161</v>
      </c>
      <c r="BA4" s="145" t="s">
        <v>162</v>
      </c>
      <c r="BB4" s="145" t="s">
        <v>163</v>
      </c>
      <c r="BC4" s="145" t="s">
        <v>164</v>
      </c>
      <c r="BD4" s="145" t="s">
        <v>165</v>
      </c>
      <c r="BE4" s="145" t="s">
        <v>166</v>
      </c>
      <c r="BF4" s="145" t="s">
        <v>167</v>
      </c>
      <c r="BG4" s="145" t="s">
        <v>168</v>
      </c>
      <c r="BH4" s="145" t="s">
        <v>169</v>
      </c>
      <c r="BI4" s="145" t="s">
        <v>170</v>
      </c>
      <c r="BJ4" s="145" t="s">
        <v>171</v>
      </c>
      <c r="BK4" s="145" t="s">
        <v>172</v>
      </c>
      <c r="BL4" s="145" t="s">
        <v>173</v>
      </c>
      <c r="BM4" s="145" t="s">
        <v>174</v>
      </c>
      <c r="BN4" s="145" t="s">
        <v>175</v>
      </c>
      <c r="BO4" s="145" t="s">
        <v>176</v>
      </c>
      <c r="BP4" s="145" t="s">
        <v>177</v>
      </c>
      <c r="BQ4" s="145" t="s">
        <v>178</v>
      </c>
      <c r="BR4" s="145" t="s">
        <v>179</v>
      </c>
      <c r="BS4" s="145" t="s">
        <v>180</v>
      </c>
      <c r="BT4" s="145" t="s">
        <v>181</v>
      </c>
      <c r="BU4" s="145" t="s">
        <v>182</v>
      </c>
      <c r="BV4" s="145" t="s">
        <v>183</v>
      </c>
      <c r="BW4" s="145" t="s">
        <v>184</v>
      </c>
      <c r="BX4" s="145" t="s">
        <v>185</v>
      </c>
      <c r="BY4" s="145" t="s">
        <v>186</v>
      </c>
      <c r="BZ4" s="145" t="s">
        <v>187</v>
      </c>
      <c r="CA4" s="145" t="s">
        <v>188</v>
      </c>
      <c r="CB4" s="145" t="s">
        <v>189</v>
      </c>
      <c r="CC4" s="145" t="s">
        <v>190</v>
      </c>
      <c r="CD4" s="145" t="s">
        <v>191</v>
      </c>
      <c r="CE4" s="145" t="s">
        <v>192</v>
      </c>
      <c r="CF4" s="145" t="s">
        <v>193</v>
      </c>
      <c r="CG4" s="145" t="s">
        <v>194</v>
      </c>
      <c r="CH4" s="145" t="s">
        <v>195</v>
      </c>
      <c r="CI4" s="145" t="s">
        <v>196</v>
      </c>
      <c r="CJ4" s="145" t="s">
        <v>197</v>
      </c>
      <c r="CK4" s="145" t="s">
        <v>198</v>
      </c>
      <c r="CL4" s="145" t="s">
        <v>199</v>
      </c>
      <c r="CM4" s="145" t="s">
        <v>200</v>
      </c>
      <c r="CN4" s="145" t="s">
        <v>201</v>
      </c>
      <c r="CO4" s="145" t="s">
        <v>202</v>
      </c>
      <c r="CP4" s="145" t="s">
        <v>203</v>
      </c>
      <c r="CQ4" s="145" t="s">
        <v>204</v>
      </c>
      <c r="CR4" s="145" t="s">
        <v>205</v>
      </c>
      <c r="CS4" s="145" t="s">
        <v>206</v>
      </c>
      <c r="CT4" s="145" t="s">
        <v>207</v>
      </c>
      <c r="CU4" s="145" t="s">
        <v>208</v>
      </c>
      <c r="CV4" s="145" t="s">
        <v>209</v>
      </c>
      <c r="CW4" s="145" t="s">
        <v>210</v>
      </c>
      <c r="CX4" s="145" t="s">
        <v>211</v>
      </c>
      <c r="CY4" s="145" t="s">
        <v>212</v>
      </c>
      <c r="CZ4" s="145" t="s">
        <v>213</v>
      </c>
      <c r="DA4" s="145" t="s">
        <v>214</v>
      </c>
      <c r="DB4" s="145" t="s">
        <v>215</v>
      </c>
      <c r="DC4" s="145" t="s">
        <v>216</v>
      </c>
      <c r="DD4" s="145" t="s">
        <v>217</v>
      </c>
      <c r="DE4" s="145" t="s">
        <v>218</v>
      </c>
      <c r="DF4" s="145" t="s">
        <v>219</v>
      </c>
      <c r="DG4" s="145" t="s">
        <v>220</v>
      </c>
      <c r="DH4" s="145" t="s">
        <v>36</v>
      </c>
      <c r="DI4" s="145" t="s">
        <v>39</v>
      </c>
      <c r="DJ4" s="145" t="s">
        <v>38</v>
      </c>
      <c r="DK4" s="145" t="s">
        <v>40</v>
      </c>
      <c r="DL4" s="145" t="s">
        <v>37</v>
      </c>
      <c r="DM4" s="145" t="s">
        <v>41</v>
      </c>
      <c r="DN4" s="145" t="s">
        <v>42</v>
      </c>
      <c r="DO4" s="145" t="s">
        <v>43</v>
      </c>
      <c r="DP4" s="145" t="s">
        <v>221</v>
      </c>
      <c r="DQ4" s="144" t="s">
        <v>222</v>
      </c>
      <c r="DR4" s="144" t="s">
        <v>223</v>
      </c>
      <c r="DS4" s="144" t="s">
        <v>224</v>
      </c>
      <c r="DT4" s="144" t="s">
        <v>225</v>
      </c>
      <c r="DU4" s="144" t="s">
        <v>226</v>
      </c>
      <c r="DV4" s="144" t="s">
        <v>227</v>
      </c>
      <c r="DW4" s="144" t="s">
        <v>228</v>
      </c>
      <c r="DX4" s="144" t="s">
        <v>229</v>
      </c>
      <c r="DY4" s="144" t="s">
        <v>230</v>
      </c>
      <c r="DZ4" s="144" t="s">
        <v>231</v>
      </c>
      <c r="EA4" s="144" t="s">
        <v>232</v>
      </c>
      <c r="EB4" s="144" t="s">
        <v>233</v>
      </c>
      <c r="EC4" s="144" t="s">
        <v>234</v>
      </c>
      <c r="ED4" s="144" t="s">
        <v>235</v>
      </c>
      <c r="EE4" s="144" t="s">
        <v>236</v>
      </c>
      <c r="EF4" s="144" t="s">
        <v>237</v>
      </c>
      <c r="EG4" s="144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54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3">
      <c r="A5" s="130">
        <v>45745</v>
      </c>
      <c r="B5" s="132">
        <f>YEAR(RD[[#This Row],[Date]])+IF(MONTH(RD[[#This Row],[Date]])&gt;=4,1,0)</f>
        <v>2025</v>
      </c>
      <c r="C5" s="132">
        <f>YEAR(RD[[#This Row],[Date]])</f>
        <v>2025</v>
      </c>
      <c r="D5" s="58">
        <f t="shared" ref="D5:D7" si="154">A5-DAY(A5)+1</f>
        <v>45717</v>
      </c>
      <c r="E5" s="132">
        <f>DAY(EOMONTH(RD[[#This Row],[Date]],0))</f>
        <v>31</v>
      </c>
      <c r="F5" s="146">
        <v>0.27916666666666667</v>
      </c>
      <c r="G5" s="146">
        <v>0.76041666666666663</v>
      </c>
      <c r="H5" s="121">
        <v>8339.7000000000007</v>
      </c>
      <c r="I5" s="121">
        <v>8248.7999999999993</v>
      </c>
      <c r="J5" s="121">
        <v>7719.3</v>
      </c>
      <c r="K5" s="121">
        <v>7619.9</v>
      </c>
      <c r="L5" s="121">
        <v>7857.5</v>
      </c>
      <c r="M5" s="121">
        <v>8179.8</v>
      </c>
      <c r="N5" s="121">
        <v>7713.2</v>
      </c>
      <c r="O5" s="121">
        <v>8719.6</v>
      </c>
      <c r="P5" s="121">
        <v>8058.4</v>
      </c>
      <c r="Q5" s="121">
        <v>7768.8</v>
      </c>
      <c r="R5" s="121">
        <v>8109.4</v>
      </c>
      <c r="S5" s="121">
        <v>8109.3</v>
      </c>
      <c r="T5" s="121">
        <v>8340.9</v>
      </c>
      <c r="U5" s="121">
        <v>8149.2</v>
      </c>
      <c r="V5" s="121">
        <v>8324.6</v>
      </c>
      <c r="W5" s="121">
        <v>8161.3</v>
      </c>
      <c r="X5" s="121">
        <v>11093</v>
      </c>
      <c r="Y5" s="121">
        <v>12491</v>
      </c>
      <c r="Z5" s="121">
        <v>11071.6</v>
      </c>
      <c r="AA5" s="121">
        <v>11673.3</v>
      </c>
      <c r="AB5" s="121">
        <v>12083.6</v>
      </c>
      <c r="AC5" s="121">
        <v>7449.7</v>
      </c>
      <c r="AD5" s="121">
        <v>11431.4</v>
      </c>
      <c r="AE5" s="121">
        <v>11400.8</v>
      </c>
      <c r="AF5" s="121">
        <v>10844.9</v>
      </c>
      <c r="AG5" s="121">
        <v>11237</v>
      </c>
      <c r="AH5" s="121">
        <v>11365.8</v>
      </c>
      <c r="AI5" s="121">
        <v>11421.2</v>
      </c>
      <c r="AJ5" s="136">
        <v>9372.7999999999993</v>
      </c>
      <c r="AK5" s="136">
        <v>9558.6</v>
      </c>
      <c r="AL5" s="136">
        <v>9202.1</v>
      </c>
      <c r="AM5" s="136">
        <v>9281.4</v>
      </c>
      <c r="AN5" s="136">
        <v>9352.2999999999993</v>
      </c>
      <c r="AO5" s="136">
        <v>9706.9</v>
      </c>
      <c r="AP5" s="136">
        <v>9517.2000000000007</v>
      </c>
      <c r="AQ5" s="136">
        <v>9400.5</v>
      </c>
      <c r="AR5" s="136">
        <v>7652.7</v>
      </c>
      <c r="AS5" s="136">
        <v>7695</v>
      </c>
      <c r="AT5" s="136">
        <v>7734.3</v>
      </c>
      <c r="AU5" s="136">
        <v>7604.3</v>
      </c>
      <c r="AV5" s="136">
        <v>7885.8</v>
      </c>
      <c r="AW5" s="136">
        <v>7754.8</v>
      </c>
      <c r="AX5" s="136">
        <v>10510.4</v>
      </c>
      <c r="AY5" s="136">
        <v>11943.2</v>
      </c>
      <c r="AZ5" s="136">
        <v>8752.4</v>
      </c>
      <c r="BA5" s="136">
        <v>10655.6</v>
      </c>
      <c r="BB5" s="136">
        <v>10577.8</v>
      </c>
      <c r="BC5" s="136">
        <v>6785.7</v>
      </c>
      <c r="BD5" s="136">
        <v>6813.4</v>
      </c>
      <c r="BE5" s="136">
        <v>10587.4</v>
      </c>
      <c r="BF5" s="136">
        <v>8345.2000000000007</v>
      </c>
      <c r="BG5" s="136">
        <v>9089.2000000000007</v>
      </c>
      <c r="BH5" s="136">
        <v>9135.7000000000007</v>
      </c>
      <c r="BI5" s="136">
        <v>3159.6</v>
      </c>
      <c r="BJ5" s="136">
        <v>1178</v>
      </c>
      <c r="BK5" s="136">
        <v>869</v>
      </c>
      <c r="BL5" s="136">
        <v>5994.4</v>
      </c>
      <c r="BM5" s="136">
        <v>6856.8</v>
      </c>
      <c r="BN5" s="136"/>
      <c r="BO5" s="13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136"/>
      <c r="CC5" s="136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2">
        <v>34503.800000000003</v>
      </c>
      <c r="DR5" s="162">
        <v>194.9</v>
      </c>
      <c r="DS5" s="162">
        <v>29377.8</v>
      </c>
      <c r="DT5" s="162">
        <v>208.3</v>
      </c>
      <c r="DU5" s="162">
        <v>33403.800000000003</v>
      </c>
      <c r="DV5" s="162">
        <v>373.2</v>
      </c>
      <c r="DW5" s="162">
        <v>2696.5</v>
      </c>
      <c r="DX5" s="162">
        <v>11.6</v>
      </c>
      <c r="DY5" s="162"/>
      <c r="DZ5" s="162"/>
      <c r="EA5" s="134">
        <v>82.52</v>
      </c>
      <c r="EB5" s="163">
        <v>100763295</v>
      </c>
      <c r="EC5" s="131">
        <v>834286.65599999996</v>
      </c>
      <c r="ED5" s="131">
        <v>992.88</v>
      </c>
      <c r="EE5" s="163">
        <v>95164</v>
      </c>
      <c r="EF5" s="162">
        <v>139813</v>
      </c>
      <c r="EG5" s="162">
        <v>1654.4</v>
      </c>
      <c r="EH5" s="140" t="e">
        <f>IF((RD[[#This Row],[33 kV_F3_Ex
Incomer1]]-#REF!)*1000&lt;0,0,(RD[[#This Row],[33 kV_F3_Ex
Incomer1]]-#REF!)*1000)</f>
        <v>#REF!</v>
      </c>
      <c r="EI5" s="140" t="e">
        <f>IF((RD[[#This Row],[34 kV_F3_Im
Incomer1]]-#REF!)*1000&lt;0,0,(RD[[#This Row],[34 kV_F3_Im
Incomer1]]-#REF!)*1000)</f>
        <v>#REF!</v>
      </c>
      <c r="EJ5" s="140" t="e">
        <f>IF((RD[[#This Row],[33 kV_F4_Ex
Incomer2]]-#REF!)*1000&lt;0,0,(RD[[#This Row],[33 kV_F4_Ex
Incomer2]]-#REF!)*1000)</f>
        <v>#REF!</v>
      </c>
      <c r="EK5" s="140" t="e">
        <f>IF((RD[[#This Row],[34 kV_F4_Im
Incomer2]]-#REF!)*1000&lt;0,0,(RD[[#This Row],[34 kV_F4_Im
Incomer2]]-#REF!)*1000)</f>
        <v>#REF!</v>
      </c>
      <c r="EL5" s="140" t="e">
        <f>IF((RD[[#This Row],[33 kV_F5_Ex
Incomer3]]-#REF!)*1000&lt;0,0,(RD[[#This Row],[33 kV_F5_Ex
Incomer3]]-#REF!)*1000)</f>
        <v>#REF!</v>
      </c>
      <c r="EM5" s="140" t="e">
        <f>IF((RD[[#This Row],[34 kV_F5_Im
Incomer3]]-#REF!)*1000&lt;0,0,(RD[[#This Row],[34 kV_F5_Im
Incomer3]]-#REF!)*1000)</f>
        <v>#REF!</v>
      </c>
      <c r="EN5" s="140" t="e">
        <f>IF((RD[[#This Row],[33 kV_F6_Ex
Incomer4]]-#REF!)*1000&lt;0,0,(RD[[#This Row],[33 kV_F6_Ex
Incomer4]]-#REF!)*1000)</f>
        <v>#REF!</v>
      </c>
      <c r="EO5" s="140" t="e">
        <f>IF((RD[[#This Row],[33 kV_F6_Im
Incomer4]]-#REF!)*1000&lt;0,0,(RD[[#This Row],[33 kV_F6_Im
Incomer4]]-#REF!)*1000)</f>
        <v>#REF!</v>
      </c>
      <c r="EP5" s="140" t="e">
        <f>IF((RD[[#This Row],[33 kV_F7_Ex
Incomer5]]-#REF!)*1000&lt;0,0,(RD[[#This Row],[33 kV_F7_Ex
Incomer5]]-#REF!)*1000)</f>
        <v>#REF!</v>
      </c>
      <c r="EQ5" s="140" t="e">
        <f>IF((RD[[#This Row],[33 kV_F7_Im
Incomer5]]-#REF!)*1000&lt;0,0,(RD[[#This Row],[33 kV_F7_Im
Incomer5]]-#REF!)*1000)</f>
        <v>#REF!</v>
      </c>
      <c r="ER5" s="140" t="e">
        <f>IF((RD[[#This Row],[33 kV_Aux Trafo]]-#REF!)*1000&lt;0,0,(RD[[#This Row],[33 kV_Aux Trafo]]-#REF!)*1000)</f>
        <v>#REF!</v>
      </c>
      <c r="ES5" s="152" t="e">
        <f>IF((RD[[#This Row],[33kV_OG1_Ex_]]-#REF!)*1&lt;0,0,(RD[[#This Row],[33kV_OG1_Ex_]]-#REF!)*1)</f>
        <v>#REF!</v>
      </c>
      <c r="ET5" s="140" t="e">
        <f>IF((RD[[#This Row],[33kV_OG1_Im]]-#REF!)*1&lt;0,0,(RD[[#This Row],[33kV_OG1_Im]]-#REF!)*1)</f>
        <v>#REF!</v>
      </c>
      <c r="EU5" s="140" t="e">
        <f>IF((RD[[#This Row],[132kV_TX1_EX]]-#REF!)*720&lt;=0,"",(RD[[#This Row],[132kV_TX1_EX]]-#REF!)*720)</f>
        <v>#REF!</v>
      </c>
      <c r="EV5" s="140" t="e">
        <f>IF((RD[[#This Row],[132 kV_Tx1_Im]]-#REF!)*720&lt;=0,0,(RD[[#This Row],[132 kV_Tx1_Im]]-#REF!)*720)</f>
        <v>#REF!</v>
      </c>
      <c r="EW5" s="140" t="e">
        <f>IF((RD[[#This Row],[132kV_L1_Ex]]-#REF!)*720&lt;=0,0,(RD[[#This Row],[132kV_L1_Ex]]-#REF!)*720)</f>
        <v>#REF!</v>
      </c>
      <c r="EX5" s="140" t="e">
        <f>IF((RD[[#This Row],[132kV_L1_Im]]-#REF!)*720&lt;=0,0,(RD[[#This Row],[132kV_L1_Im]]-#REF!)*720)</f>
        <v>#REF!</v>
      </c>
      <c r="EY5" s="140" t="str">
        <f>IFERROR(RD[[#This Row],[33kV_OG1_Ex (MWh)]]+RD[[#This Row],[33kV_OG1_Im (MWh)]],"")</f>
        <v/>
      </c>
      <c r="EZ5" s="142" t="e">
        <f>RD[[#This Row],[33kV_OG1_Ex (MWh)]]-RD[[#This Row],[33kV_OG1_Im (MWh)]]</f>
        <v>#REF!</v>
      </c>
      <c r="FA5" s="141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1">
        <v>97</v>
      </c>
      <c r="FE5" t="s">
        <v>265</v>
      </c>
      <c r="FF5"/>
      <c r="FG5"/>
    </row>
    <row r="6" spans="1:163">
      <c r="A6" s="130">
        <f t="shared" ref="A6:A28" si="155">A5+1</f>
        <v>45746</v>
      </c>
      <c r="B6" s="132">
        <f>YEAR(RD[[#This Row],[Date]])+IF(MONTH(RD[[#This Row],[Date]])&gt;=4,1,0)</f>
        <v>2025</v>
      </c>
      <c r="C6" s="132">
        <f>YEAR(RD[[#This Row],[Date]])</f>
        <v>2025</v>
      </c>
      <c r="D6" s="58">
        <f t="shared" si="154"/>
        <v>45717</v>
      </c>
      <c r="E6" s="132">
        <f>DAY(EOMONTH(RD[[#This Row],[Date]],0))</f>
        <v>31</v>
      </c>
      <c r="F6" s="146">
        <v>0.27708333333333335</v>
      </c>
      <c r="G6" s="156">
        <v>0.75763888888888886</v>
      </c>
      <c r="H6" s="121">
        <v>7963.4</v>
      </c>
      <c r="I6" s="121">
        <v>7911</v>
      </c>
      <c r="J6" s="121">
        <v>7371.5</v>
      </c>
      <c r="K6" s="121">
        <v>7304.9</v>
      </c>
      <c r="L6" s="121">
        <v>7474.2</v>
      </c>
      <c r="M6" s="121">
        <v>7760.6</v>
      </c>
      <c r="N6" s="121">
        <v>7367.2</v>
      </c>
      <c r="O6" s="121">
        <v>8345.4</v>
      </c>
      <c r="P6" s="121">
        <v>7740.9</v>
      </c>
      <c r="Q6" s="121">
        <v>7426.3</v>
      </c>
      <c r="R6" s="121">
        <v>7786.6</v>
      </c>
      <c r="S6" s="121">
        <v>7806.4</v>
      </c>
      <c r="T6" s="121">
        <v>8001.5</v>
      </c>
      <c r="U6" s="121">
        <v>7770.1</v>
      </c>
      <c r="V6" s="121">
        <v>7947.8</v>
      </c>
      <c r="W6" s="121">
        <v>7787.9</v>
      </c>
      <c r="X6" s="121">
        <v>10559.9</v>
      </c>
      <c r="Y6" s="121">
        <v>11925</v>
      </c>
      <c r="Z6" s="121">
        <v>10539</v>
      </c>
      <c r="AA6" s="121">
        <v>11084.1</v>
      </c>
      <c r="AB6" s="121">
        <v>11509.6</v>
      </c>
      <c r="AC6" s="121">
        <v>7090.6</v>
      </c>
      <c r="AD6" s="121">
        <v>10906</v>
      </c>
      <c r="AE6" s="121">
        <v>10976.8</v>
      </c>
      <c r="AF6" s="121">
        <v>10310</v>
      </c>
      <c r="AG6" s="121">
        <v>10687</v>
      </c>
      <c r="AH6" s="121">
        <v>10841.5</v>
      </c>
      <c r="AI6" s="121">
        <v>10901.9</v>
      </c>
      <c r="AJ6" s="136">
        <v>8914.1</v>
      </c>
      <c r="AK6" s="136">
        <v>9214.1</v>
      </c>
      <c r="AL6" s="136">
        <v>8763</v>
      </c>
      <c r="AM6" s="136">
        <v>8844.2999999999993</v>
      </c>
      <c r="AN6" s="136">
        <v>8886.5</v>
      </c>
      <c r="AO6" s="136">
        <v>9213.6</v>
      </c>
      <c r="AP6" s="136">
        <v>9027</v>
      </c>
      <c r="AQ6" s="136">
        <v>8927.7999999999993</v>
      </c>
      <c r="AR6" s="136">
        <v>7275.3</v>
      </c>
      <c r="AS6" s="136">
        <v>7317.4</v>
      </c>
      <c r="AT6" s="136">
        <v>7418.7</v>
      </c>
      <c r="AU6" s="136">
        <v>7238.6</v>
      </c>
      <c r="AV6" s="136">
        <v>7563</v>
      </c>
      <c r="AW6" s="136">
        <v>7377.4</v>
      </c>
      <c r="AX6" s="136">
        <v>10013</v>
      </c>
      <c r="AY6" s="136">
        <v>11495</v>
      </c>
      <c r="AZ6" s="136">
        <v>8357</v>
      </c>
      <c r="BA6" s="136">
        <v>10143</v>
      </c>
      <c r="BB6" s="136">
        <v>10108.4</v>
      </c>
      <c r="BC6" s="136">
        <v>6861.4</v>
      </c>
      <c r="BD6" s="136">
        <v>8068.1</v>
      </c>
      <c r="BE6" s="136">
        <v>10185.299999999999</v>
      </c>
      <c r="BF6" s="136">
        <v>7915.4</v>
      </c>
      <c r="BG6" s="136">
        <v>8551</v>
      </c>
      <c r="BH6" s="136">
        <v>8615</v>
      </c>
      <c r="BI6" s="136">
        <v>2974.8</v>
      </c>
      <c r="BJ6" s="136">
        <v>1103.5</v>
      </c>
      <c r="BK6" s="136">
        <v>813</v>
      </c>
      <c r="BL6" s="136">
        <v>6023.9</v>
      </c>
      <c r="BM6" s="136">
        <v>6355.1</v>
      </c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2">
        <v>34630.199999999997</v>
      </c>
      <c r="DR6" s="162">
        <v>195.3</v>
      </c>
      <c r="DS6" s="162">
        <v>29498.1</v>
      </c>
      <c r="DT6" s="162">
        <v>208.6</v>
      </c>
      <c r="DU6" s="162">
        <v>33557.599999999999</v>
      </c>
      <c r="DV6" s="162">
        <v>373.8</v>
      </c>
      <c r="DW6" s="162">
        <v>2773.4</v>
      </c>
      <c r="DX6" s="162">
        <v>11.9</v>
      </c>
      <c r="DY6" s="162"/>
      <c r="DZ6" s="162"/>
      <c r="EA6" s="134">
        <v>82.78</v>
      </c>
      <c r="EB6" s="163">
        <v>101241118</v>
      </c>
      <c r="EC6" s="131">
        <v>835956.60800000001</v>
      </c>
      <c r="ED6" s="131">
        <v>995.08799999999997</v>
      </c>
      <c r="EE6" s="163">
        <v>95640</v>
      </c>
      <c r="EF6" s="162">
        <v>140474.29999999999</v>
      </c>
      <c r="EG6" s="162">
        <v>1657.5</v>
      </c>
      <c r="EH6" s="140">
        <f>IF((RD[[#This Row],[33 kV_F3_Ex
Incomer1]]-DQ5)*1000&lt;0,0,(RD[[#This Row],[33 kV_F3_Ex
Incomer1]]-DQ5)*1000)</f>
        <v>126399.99999999418</v>
      </c>
      <c r="EI6" s="140">
        <f>IF((RD[[#This Row],[34 kV_F3_Im
Incomer1]]-DR5)*1000&lt;0,0,(RD[[#This Row],[34 kV_F3_Im
Incomer1]]-DR5)*1000)</f>
        <v>400.00000000000568</v>
      </c>
      <c r="EJ6" s="140">
        <f>IF((RD[[#This Row],[33 kV_F4_Ex
Incomer2]]-DS5)*1000&lt;0,0,(RD[[#This Row],[33 kV_F4_Ex
Incomer2]]-DS5)*1000)</f>
        <v>120299.99999999927</v>
      </c>
      <c r="EK6" s="140">
        <f>IF((RD[[#This Row],[34 kV_F4_Im
Incomer2]]-DT5)*1000&lt;0,0,(RD[[#This Row],[34 kV_F4_Im
Incomer2]]-DT5)*1000)</f>
        <v>299.99999999998295</v>
      </c>
      <c r="EL6" s="140">
        <f>IF((RD[[#This Row],[33 kV_F5_Ex
Incomer3]]-DU5)*1000&lt;0,0,(RD[[#This Row],[33 kV_F5_Ex
Incomer3]]-DU5)*1000)</f>
        <v>153799.99999999563</v>
      </c>
      <c r="EM6" s="140">
        <f>IF((RD[[#This Row],[34 kV_F5_Im
Incomer3]]-DV5)*1000&lt;0,0,(RD[[#This Row],[34 kV_F5_Im
Incomer3]]-DV5)*1000)</f>
        <v>600.00000000002274</v>
      </c>
      <c r="EN6" s="140">
        <f>IF((RD[[#This Row],[33 kV_F6_Ex
Incomer4]]-DW5)*1000&lt;0,0,(RD[[#This Row],[33 kV_F6_Ex
Incomer4]]-DW5)*1000)</f>
        <v>76900.000000000087</v>
      </c>
      <c r="EO6" s="140">
        <f>IF((RD[[#This Row],[33 kV_F6_Im
Incomer4]]-DX5)*1000&lt;0,0,(RD[[#This Row],[33 kV_F6_Im
Incomer4]]-DX5)*1000)</f>
        <v>300.00000000000068</v>
      </c>
      <c r="EP6" s="140">
        <f>IF((RD[[#This Row],[33 kV_F7_Ex
Incomer5]]-DY5)*1000&lt;0,0,(RD[[#This Row],[33 kV_F7_Ex
Incomer5]]-DY5)*1000)</f>
        <v>0</v>
      </c>
      <c r="EQ6" s="140">
        <f>IF((RD[[#This Row],[33 kV_F7_Im
Incomer5]]-DZ5)*1000&lt;0,0,(RD[[#This Row],[33 kV_F7_Im
Incomer5]]-DZ5)*1000)</f>
        <v>0</v>
      </c>
      <c r="ER6" s="140">
        <f>IF((RD[[#This Row],[33 kV_Aux Trafo]]-EA5)*1000&lt;0,0,(RD[[#This Row],[33 kV_Aux Trafo]]-EA5)*1000)</f>
        <v>260.00000000000512</v>
      </c>
      <c r="ES6" s="152">
        <f>IF((RD[[#This Row],[33kV_OG1_Ex_]]-EB5)*1&lt;0,0,(RD[[#This Row],[33kV_OG1_Ex_]]-EB5)*1)</f>
        <v>477823</v>
      </c>
      <c r="ET6" s="140">
        <f>IF((RD[[#This Row],[33kV_OG1_Im]]-EC5)*1&lt;0,0,(RD[[#This Row],[33kV_OG1_Im]]-EC5)*1)</f>
        <v>1669.9520000000484</v>
      </c>
      <c r="EU6" s="140">
        <f>IF((RD[[#This Row],[132kV_TX1_EX]]-ED5)*720&lt;=0,"",(RD[[#This Row],[132kV_TX1_EX]]-ED5)*720)</f>
        <v>1589.7599999999784</v>
      </c>
      <c r="EV6" s="140">
        <f>IF((RD[[#This Row],[132 kV_Tx1_Im]]-EE5)*720&lt;=0,0,(RD[[#This Row],[132 kV_Tx1_Im]]-EE5)*720)</f>
        <v>342720</v>
      </c>
      <c r="EW6" s="140">
        <f>IF((RD[[#This Row],[132kV_L1_Ex]]-EF5)*720&lt;=0,0,(RD[[#This Row],[132kV_L1_Ex]]-EF5)*720)</f>
        <v>476135.99999999162</v>
      </c>
      <c r="EX6" s="140">
        <f>IF((RD[[#This Row],[132kV_L1_Im]]-EG5)*720&lt;=0,0,(RD[[#This Row],[132kV_L1_Im]]-EG5)*720)</f>
        <v>2231.9999999999345</v>
      </c>
      <c r="EY6" s="140">
        <f>IFERROR(RD[[#This Row],[33kV_OG1_Ex (MWh)]]+RD[[#This Row],[33kV_OG1_Im (MWh)]],"")</f>
        <v>479492.95200000005</v>
      </c>
      <c r="EZ6" s="142">
        <f>RD[[#This Row],[33kV_OG1_Ex (MWh)]]-RD[[#This Row],[33kV_OG1_Im (MWh)]]</f>
        <v>476153.04799999995</v>
      </c>
      <c r="FA6" s="141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1">
        <v>97</v>
      </c>
      <c r="FE6" t="s">
        <v>265</v>
      </c>
      <c r="FF6"/>
      <c r="FG6"/>
    </row>
    <row r="7" spans="1:163">
      <c r="A7" s="130">
        <f t="shared" si="155"/>
        <v>45747</v>
      </c>
      <c r="B7" s="132">
        <f>YEAR(RD[[#This Row],[Date]])+IF(MONTH(RD[[#This Row],[Date]])&gt;=4,1,0)</f>
        <v>2025</v>
      </c>
      <c r="C7" s="132">
        <f>YEAR(RD[[#This Row],[Date]])</f>
        <v>2025</v>
      </c>
      <c r="D7" s="58">
        <f t="shared" si="154"/>
        <v>45717</v>
      </c>
      <c r="E7" s="132">
        <f>DAY(EOMONTH(RD[[#This Row],[Date]],0))</f>
        <v>31</v>
      </c>
      <c r="F7" s="146">
        <v>0.28333333333333333</v>
      </c>
      <c r="G7" s="156">
        <v>0.75624999999999998</v>
      </c>
      <c r="H7" s="121">
        <v>6217.2</v>
      </c>
      <c r="I7" s="121">
        <v>6187.2</v>
      </c>
      <c r="J7" s="121">
        <v>5750.2</v>
      </c>
      <c r="K7" s="121">
        <v>5827.9</v>
      </c>
      <c r="L7" s="121">
        <v>5977.9</v>
      </c>
      <c r="M7" s="121">
        <v>6071.3</v>
      </c>
      <c r="N7" s="121">
        <v>5757.7</v>
      </c>
      <c r="O7" s="121">
        <v>6597.9</v>
      </c>
      <c r="P7" s="121">
        <v>6094.2</v>
      </c>
      <c r="Q7" s="121">
        <v>5799.3</v>
      </c>
      <c r="R7" s="121">
        <v>6104.9</v>
      </c>
      <c r="S7" s="121">
        <v>6124.6</v>
      </c>
      <c r="T7" s="121">
        <v>6339.5</v>
      </c>
      <c r="U7" s="121">
        <v>6149.9</v>
      </c>
      <c r="V7" s="121">
        <v>6281.8</v>
      </c>
      <c r="W7" s="121">
        <v>6113.2</v>
      </c>
      <c r="X7" s="121">
        <v>8334</v>
      </c>
      <c r="Y7" s="121">
        <v>9386.9</v>
      </c>
      <c r="Z7" s="121">
        <v>8268</v>
      </c>
      <c r="AA7" s="121">
        <v>8687</v>
      </c>
      <c r="AB7" s="121">
        <v>9012.2999999999993</v>
      </c>
      <c r="AC7" s="121">
        <v>5550.4</v>
      </c>
      <c r="AD7" s="121">
        <v>8504.9</v>
      </c>
      <c r="AE7" s="121">
        <v>8584.9</v>
      </c>
      <c r="AF7" s="121">
        <v>8095</v>
      </c>
      <c r="AG7" s="121">
        <v>10687</v>
      </c>
      <c r="AH7" s="121">
        <v>8480.2999999999993</v>
      </c>
      <c r="AI7" s="121">
        <v>8510</v>
      </c>
      <c r="AJ7" s="136">
        <v>6661.3</v>
      </c>
      <c r="AK7" s="136">
        <v>6886</v>
      </c>
      <c r="AL7" s="136">
        <v>6586.2</v>
      </c>
      <c r="AM7" s="136">
        <v>6722.8</v>
      </c>
      <c r="AN7" s="136">
        <v>6666.5</v>
      </c>
      <c r="AO7" s="136">
        <v>6920.1</v>
      </c>
      <c r="AP7" s="136">
        <v>6766</v>
      </c>
      <c r="AQ7" s="136">
        <v>6705</v>
      </c>
      <c r="AR7" s="136">
        <v>5433.8</v>
      </c>
      <c r="AS7" s="136">
        <v>5467.9</v>
      </c>
      <c r="AT7" s="136">
        <v>5541.3</v>
      </c>
      <c r="AU7" s="136">
        <v>5403.3</v>
      </c>
      <c r="AV7" s="136">
        <v>5648.9</v>
      </c>
      <c r="AW7" s="136">
        <v>5520.3</v>
      </c>
      <c r="AX7" s="136">
        <v>7500</v>
      </c>
      <c r="AY7" s="136">
        <v>8634</v>
      </c>
      <c r="AZ7" s="136">
        <v>6258.6</v>
      </c>
      <c r="BA7" s="136">
        <v>7581.5</v>
      </c>
      <c r="BB7" s="136">
        <v>7888.3</v>
      </c>
      <c r="BC7" s="136">
        <v>6027.8</v>
      </c>
      <c r="BD7" s="136">
        <v>6435.8</v>
      </c>
      <c r="BE7" s="136">
        <v>7909.7</v>
      </c>
      <c r="BF7" s="136">
        <v>6166.5</v>
      </c>
      <c r="BG7" s="136">
        <v>6522.8</v>
      </c>
      <c r="BH7" s="136">
        <v>4864.8</v>
      </c>
      <c r="BI7" s="136">
        <v>2252.6</v>
      </c>
      <c r="BJ7" s="136">
        <v>822.2</v>
      </c>
      <c r="BK7" s="136">
        <v>635.4</v>
      </c>
      <c r="BL7" s="136">
        <v>4908.1000000000004</v>
      </c>
      <c r="BM7" s="136">
        <v>4783.8999999999996</v>
      </c>
      <c r="BN7" s="136"/>
      <c r="BO7" s="136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6"/>
      <c r="CC7" s="136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2">
        <v>34729.4</v>
      </c>
      <c r="DR7" s="162">
        <v>195.8</v>
      </c>
      <c r="DS7" s="162">
        <v>29593.5</v>
      </c>
      <c r="DT7" s="162">
        <v>209</v>
      </c>
      <c r="DU7" s="162">
        <v>33673.199999999997</v>
      </c>
      <c r="DV7" s="162">
        <v>374.5</v>
      </c>
      <c r="DW7" s="162">
        <v>2832.2</v>
      </c>
      <c r="DX7" s="162">
        <v>12.2</v>
      </c>
      <c r="DY7" s="162"/>
      <c r="DZ7" s="162"/>
      <c r="EA7" s="134">
        <v>83.15</v>
      </c>
      <c r="EB7" s="163">
        <v>101610283</v>
      </c>
      <c r="EC7" s="131">
        <v>837989.37600000005</v>
      </c>
      <c r="ED7" s="131">
        <v>998.16</v>
      </c>
      <c r="EE7" s="163">
        <v>96008</v>
      </c>
      <c r="EF7" s="162">
        <v>140985.20000000001</v>
      </c>
      <c r="EG7" s="162">
        <v>1661.7</v>
      </c>
      <c r="EH7" s="140">
        <f>IF((RD[[#This Row],[33 kV_F3_Ex
Incomer1]]-DQ6)*1000&lt;0,0,(RD[[#This Row],[33 kV_F3_Ex
Incomer1]]-DQ6)*1000)</f>
        <v>99200.000000004366</v>
      </c>
      <c r="EI7" s="140">
        <f>IF((RD[[#This Row],[34 kV_F3_Im
Incomer1]]-DR6)*1000&lt;0,0,(RD[[#This Row],[34 kV_F3_Im
Incomer1]]-DR6)*1000)</f>
        <v>500</v>
      </c>
      <c r="EJ7" s="140">
        <f>IF((RD[[#This Row],[33 kV_F4_Ex
Incomer2]]-DS6)*1000&lt;0,0,(RD[[#This Row],[33 kV_F4_Ex
Incomer2]]-DS6)*1000)</f>
        <v>95400.000000001455</v>
      </c>
      <c r="EK7" s="140">
        <f>IF((RD[[#This Row],[34 kV_F4_Im
Incomer2]]-DT6)*1000&lt;0,0,(RD[[#This Row],[34 kV_F4_Im
Incomer2]]-DT6)*1000)</f>
        <v>400.00000000000568</v>
      </c>
      <c r="EL7" s="140">
        <f>IF((RD[[#This Row],[33 kV_F5_Ex
Incomer3]]-DU6)*1000&lt;0,0,(RD[[#This Row],[33 kV_F5_Ex
Incomer3]]-DU6)*1000)</f>
        <v>115599.99999999854</v>
      </c>
      <c r="EM7" s="140">
        <f>IF((RD[[#This Row],[34 kV_F5_Im
Incomer3]]-DV6)*1000&lt;0,0,(RD[[#This Row],[34 kV_F5_Im
Incomer3]]-DV6)*1000)</f>
        <v>699.99999999998863</v>
      </c>
      <c r="EN7" s="140">
        <f>IF((RD[[#This Row],[33 kV_F6_Ex
Incomer4]]-DW6)*1000&lt;0,0,(RD[[#This Row],[33 kV_F6_Ex
Incomer4]]-DW6)*1000)</f>
        <v>58799.999999999724</v>
      </c>
      <c r="EO7" s="140">
        <f>IF((RD[[#This Row],[33 kV_F6_Im
Incomer4]]-DX6)*1000&lt;0,0,(RD[[#This Row],[33 kV_F6_Im
Incomer4]]-DX6)*1000)</f>
        <v>299.99999999999892</v>
      </c>
      <c r="EP7" s="140">
        <f>IF((RD[[#This Row],[33 kV_F7_Ex
Incomer5]]-DY6)*1000&lt;0,0,(RD[[#This Row],[33 kV_F7_Ex
Incomer5]]-DY6)*1000)</f>
        <v>0</v>
      </c>
      <c r="EQ7" s="140">
        <f>IF((RD[[#This Row],[33 kV_F7_Im
Incomer5]]-DZ6)*1000&lt;0,0,(RD[[#This Row],[33 kV_F7_Im
Incomer5]]-DZ6)*1000)</f>
        <v>0</v>
      </c>
      <c r="ER7" s="140">
        <f>IF((RD[[#This Row],[33 kV_Aux Trafo]]-EA6)*1000&lt;0,0,(RD[[#This Row],[33 kV_Aux Trafo]]-EA6)*1000)</f>
        <v>370.00000000000455</v>
      </c>
      <c r="ES7" s="152">
        <f>IF((RD[[#This Row],[33kV_OG1_Ex_]]-EB6)*1&lt;0,0,(RD[[#This Row],[33kV_OG1_Ex_]]-EB6)*1)</f>
        <v>369165</v>
      </c>
      <c r="ET7" s="140">
        <f>IF((RD[[#This Row],[33kV_OG1_Im]]-EC6)*1&lt;0,0,(RD[[#This Row],[33kV_OG1_Im]]-EC6)*1)</f>
        <v>2032.76800000004</v>
      </c>
      <c r="EU7" s="140">
        <f>IF((RD[[#This Row],[132kV_TX1_EX]]-ED6)*720&lt;=0,"",(RD[[#This Row],[132kV_TX1_EX]]-ED6)*720)</f>
        <v>2211.840000000002</v>
      </c>
      <c r="EV7" s="140">
        <f>IF((RD[[#This Row],[132 kV_Tx1_Im]]-EE6)*720&lt;=0,0,(RD[[#This Row],[132 kV_Tx1_Im]]-EE6)*720)</f>
        <v>264960</v>
      </c>
      <c r="EW7" s="140">
        <f>IF((RD[[#This Row],[132kV_L1_Ex]]-EF6)*720&lt;=0,0,(RD[[#This Row],[132kV_L1_Ex]]-EF6)*720)</f>
        <v>367848.00000001676</v>
      </c>
      <c r="EX7" s="140">
        <f>IF((RD[[#This Row],[132kV_L1_Im]]-EG6)*720&lt;=0,0,(RD[[#This Row],[132kV_L1_Im]]-EG6)*720)</f>
        <v>3024.0000000000327</v>
      </c>
      <c r="EY7" s="140">
        <f>IFERROR(RD[[#This Row],[33kV_OG1_Ex (MWh)]]+RD[[#This Row],[33kV_OG1_Im (MWh)]],"")</f>
        <v>371197.76800000004</v>
      </c>
      <c r="EZ7" s="142">
        <f>RD[[#This Row],[33kV_OG1_Ex (MWh)]]-RD[[#This Row],[33kV_OG1_Im (MWh)]]</f>
        <v>367132.23199999996</v>
      </c>
      <c r="FA7" s="141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1">
        <v>97</v>
      </c>
      <c r="FE7" t="s">
        <v>265</v>
      </c>
      <c r="FF7"/>
      <c r="FG7"/>
    </row>
    <row r="8" spans="1:163">
      <c r="A8" s="130">
        <f t="shared" si="155"/>
        <v>45748</v>
      </c>
      <c r="B8" s="132">
        <f>YEAR(RD[[#This Row],[Date]])+IF(MONTH(RD[[#This Row],[Date]])&gt;=4,1,0)</f>
        <v>2026</v>
      </c>
      <c r="C8" s="132">
        <f>YEAR(RD[[#This Row],[Date]])</f>
        <v>2025</v>
      </c>
      <c r="D8" s="133">
        <f>A8-DAY(A8)+1</f>
        <v>45748</v>
      </c>
      <c r="E8" s="132">
        <f>DAY(EOMONTH(RD[[#This Row],[Date]],0))</f>
        <v>30</v>
      </c>
      <c r="F8" s="146">
        <v>0.28888888888888886</v>
      </c>
      <c r="G8" s="156">
        <v>0.72916666666666663</v>
      </c>
      <c r="H8" s="121">
        <v>2664</v>
      </c>
      <c r="I8" s="121">
        <v>2647</v>
      </c>
      <c r="J8" s="121">
        <v>2477</v>
      </c>
      <c r="K8" s="121">
        <v>2495</v>
      </c>
      <c r="L8" s="121">
        <v>2581</v>
      </c>
      <c r="M8" s="121">
        <v>2622</v>
      </c>
      <c r="N8" s="121">
        <v>2464</v>
      </c>
      <c r="O8" s="121">
        <v>2832</v>
      </c>
      <c r="P8" s="121">
        <v>2580</v>
      </c>
      <c r="Q8" s="121">
        <v>2513</v>
      </c>
      <c r="R8" s="121">
        <v>2626</v>
      </c>
      <c r="S8" s="121">
        <v>2518</v>
      </c>
      <c r="T8" s="121">
        <v>2699</v>
      </c>
      <c r="U8" s="121">
        <v>2672</v>
      </c>
      <c r="V8" s="121">
        <v>2688</v>
      </c>
      <c r="W8" s="121">
        <v>2562</v>
      </c>
      <c r="X8" s="192">
        <v>3625</v>
      </c>
      <c r="Y8" s="192">
        <v>4171</v>
      </c>
      <c r="Z8" s="192">
        <v>3563</v>
      </c>
      <c r="AA8" s="192">
        <v>3759</v>
      </c>
      <c r="AB8" s="192">
        <v>3944</v>
      </c>
      <c r="AC8" s="192">
        <v>2415</v>
      </c>
      <c r="AD8" s="192">
        <v>3675</v>
      </c>
      <c r="AE8" s="192">
        <v>3729</v>
      </c>
      <c r="AF8" s="192">
        <v>3533</v>
      </c>
      <c r="AG8" s="192">
        <v>3640</v>
      </c>
      <c r="AH8" s="192">
        <v>3660</v>
      </c>
      <c r="AI8" s="192">
        <v>3685</v>
      </c>
      <c r="AJ8" s="136">
        <v>3099</v>
      </c>
      <c r="AK8" s="136">
        <v>3167</v>
      </c>
      <c r="AL8" s="136">
        <v>3083</v>
      </c>
      <c r="AM8" s="136">
        <v>3132</v>
      </c>
      <c r="AN8" s="136">
        <v>3069</v>
      </c>
      <c r="AO8" s="136">
        <v>3180</v>
      </c>
      <c r="AP8" s="136">
        <v>3114</v>
      </c>
      <c r="AQ8" s="136">
        <v>3087</v>
      </c>
      <c r="AR8" s="136">
        <v>2433</v>
      </c>
      <c r="AS8" s="136">
        <v>2452</v>
      </c>
      <c r="AT8" s="136">
        <v>2483</v>
      </c>
      <c r="AU8" s="136">
        <v>2457</v>
      </c>
      <c r="AV8" s="136">
        <v>2533</v>
      </c>
      <c r="AW8" s="136">
        <v>2469</v>
      </c>
      <c r="AX8" s="136">
        <v>3493</v>
      </c>
      <c r="AY8" s="136">
        <v>4021</v>
      </c>
      <c r="AZ8" s="136">
        <v>2912</v>
      </c>
      <c r="BA8" s="136">
        <v>3550</v>
      </c>
      <c r="BB8" s="136">
        <v>3455</v>
      </c>
      <c r="BC8" s="136">
        <v>2656.6</v>
      </c>
      <c r="BD8" s="136">
        <v>2808</v>
      </c>
      <c r="BE8" s="136">
        <v>3461.8</v>
      </c>
      <c r="BF8" s="136">
        <v>2839</v>
      </c>
      <c r="BG8" s="136">
        <v>2820</v>
      </c>
      <c r="BH8" s="136">
        <v>2779</v>
      </c>
      <c r="BI8" s="136">
        <v>1005</v>
      </c>
      <c r="BJ8" s="136">
        <v>515</v>
      </c>
      <c r="BK8" s="136">
        <v>223</v>
      </c>
      <c r="BL8" s="136">
        <v>2129</v>
      </c>
      <c r="BM8" s="136">
        <v>2035</v>
      </c>
      <c r="BN8" s="136"/>
      <c r="BO8" s="13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6"/>
      <c r="CC8" s="136"/>
      <c r="CD8" s="59">
        <v>1.68</v>
      </c>
      <c r="CE8" s="59"/>
      <c r="CF8" s="195">
        <v>2.214</v>
      </c>
      <c r="CG8" s="195"/>
      <c r="CH8" s="195">
        <v>0.27400000000000002</v>
      </c>
      <c r="CI8" s="195"/>
      <c r="CJ8" s="59">
        <v>0.40200000000000002</v>
      </c>
      <c r="CK8" s="59"/>
      <c r="CL8" s="195">
        <v>30.347999999999999</v>
      </c>
      <c r="CM8" s="195"/>
      <c r="CN8" s="195">
        <v>37.567999999999998</v>
      </c>
      <c r="CO8" s="195"/>
      <c r="CP8" s="195">
        <v>30.975999999999999</v>
      </c>
      <c r="CQ8" s="195"/>
      <c r="CR8" s="59">
        <v>0</v>
      </c>
      <c r="CS8" s="59"/>
      <c r="CT8" s="195">
        <v>0.66600000000000004</v>
      </c>
      <c r="CU8" s="195"/>
      <c r="CV8" s="195">
        <v>1.6919999999999999</v>
      </c>
      <c r="CW8" s="247"/>
      <c r="CX8" s="193">
        <f>IFERROR(AVERAGEIF(RD[[#This Row],[IS1POA1 (KWh/m2)]:[IS7POA2 (KWh/m2)]],"&lt;&gt;0",RD[[#This Row],[IS1POA1 (KWh/m2)]:[IS7POA2 (KWh/m2)]]),"")</f>
        <v>1.68</v>
      </c>
      <c r="CY8" s="193">
        <f>IFERROR(AVERAGEIF(RD[[#This Row],[IS1GHI1 (KWh/m2)]:[IS7GHI2 (KWh/m2)]],"&lt;&gt;0",RD[[#This Row],[IS1GHI1 (KWh/m2)]:[IS7GHI2 (KWh/m2)]]),"")</f>
        <v>2.214</v>
      </c>
      <c r="CZ8" s="193">
        <f>IFERROR(AVERAGEIF(RD[[#This Row],[IS1POA_BS1 (KWh/m2)]:[IS7POA_BS2 (KWh/m2)]],"&lt;&gt;0",RD[[#This Row],[IS1POA_BS1 (KWh/m2)]:[IS7POA_BS2 (KWh/m2)]]),"")</f>
        <v>0.27400000000000002</v>
      </c>
      <c r="DA8" s="193">
        <f>IFERROR(AVERAGEIF(RD[[#This Row],[IS1GHI_BS1 (KWh/m2)]:[IS1GHI_BS1 (KWh/m2)2]],"&lt;&gt;0",RD[[#This Row],[IS1GHI_BS1 (KWh/m2)]:[IS1GHI_BS1 (KWh/m2)2]]),"")</f>
        <v>0.40200000000000002</v>
      </c>
      <c r="DB8" s="193">
        <f>IFERROR(AVERAGEIF(RD[[#This Row],[IS1AT1 (°C)]:[IS7AT2 (°C)]],"&lt;&gt;0",RD[[#This Row],[IS1AT1 (°C)]:[IS7AT2 (°C)]]),"")</f>
        <v>30.347999999999999</v>
      </c>
      <c r="DC8" s="193">
        <f>IFERROR(AVERAGEIF(RD[[#This Row],[IS1MT1 (°C)]:[IS7MT2 (°C)]],"&lt;&gt;0",RD[[#This Row],[IS1MT1 (°C)]:[IS7MT2 (°C)]]),"")</f>
        <v>37.567999999999998</v>
      </c>
      <c r="DD8" s="193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193">
        <f>IFERROR(AVERAGEIF(RD[[#This Row],[WS_Solar1_Avg (m/s)]:[IS7_WS_Solar1_Avg (m/s)]],"&lt;&gt;0",RD[[#This Row],[WS_Solar1_Avg (m/s)]:[IS7_WS_Solar1_Avg (m/s)]]),"")</f>
        <v>0.66600000000000004</v>
      </c>
      <c r="DG8" s="193">
        <f>IFERROR(AVERAGEIF(RD[[#This Row],[WS_Solar1_Max (m/s)]:[IS7_WS_Solar1_Max (m/s)]],"&lt;&gt;0",RD[[#This Row],[WS_Solar1_Max (m/s)]:[IS7_WS_Solar1_Max (m/s)]]),"")</f>
        <v>1.6919999999999999</v>
      </c>
      <c r="DH8" s="193">
        <f>SUM(RD[[#This Row],[IS1Inv1M1]:[IS4Inv4M2]])</f>
        <v>85039</v>
      </c>
      <c r="DI8" s="194">
        <f>SUM(RD[[#This Row],[IS7Inv1M1]]+RD[[#This Row],[IS7Inv2M1]])</f>
        <v>4885</v>
      </c>
      <c r="DJ8" s="193">
        <f>SUM(RD[[#This Row],[IS5Inv1M1]:[IS5Inv2M2]])</f>
        <v>12481</v>
      </c>
      <c r="DK8" s="193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75">
        <f>SUM(RD[[#This Row],[IS12Inv1M1]:[IS12Inv1M4]])</f>
        <v>0</v>
      </c>
      <c r="DO8" s="275">
        <f>SUM(RD[[#This Row],[IS13Inv1M1]:[IS13Inv2M2]])</f>
        <v>0</v>
      </c>
      <c r="DP8" s="193">
        <f>SUM(RD[[#This Row],[O2R15]:[O2R26]])</f>
        <v>165499.4</v>
      </c>
      <c r="DQ8" s="162">
        <v>34772.5</v>
      </c>
      <c r="DR8" s="162">
        <v>195.9</v>
      </c>
      <c r="DS8" s="158">
        <v>29634.7</v>
      </c>
      <c r="DT8" s="162">
        <v>209.1</v>
      </c>
      <c r="DU8" s="162">
        <v>33726.800000000003</v>
      </c>
      <c r="DV8" s="162">
        <v>374.8</v>
      </c>
      <c r="DW8" s="162">
        <v>2863</v>
      </c>
      <c r="DX8" s="162">
        <v>12.3</v>
      </c>
      <c r="DY8" s="162"/>
      <c r="DZ8" s="162"/>
      <c r="EA8" s="134">
        <v>83.32</v>
      </c>
      <c r="EB8" s="163">
        <v>101779857</v>
      </c>
      <c r="EC8" s="131">
        <v>839260.28799999994</v>
      </c>
      <c r="ED8" s="131">
        <v>999.40800000000002</v>
      </c>
      <c r="EE8" s="163">
        <v>96176</v>
      </c>
      <c r="EF8" s="162">
        <v>141219.70000000001</v>
      </c>
      <c r="EG8" s="158">
        <v>1663.4</v>
      </c>
      <c r="EH8" s="140">
        <f>IF((RD[[#This Row],[33 kV_F3_Ex
Incomer1]]-DQ7)*1000&lt;0,0,(RD[[#This Row],[33 kV_F3_Ex
Incomer1]]-DQ7)*1000)</f>
        <v>43099.999999998545</v>
      </c>
      <c r="EI8" s="140">
        <f>IF((RD[[#This Row],[34 kV_F3_Im
Incomer1]]-DR7)*1000&lt;0,0,(RD[[#This Row],[34 kV_F3_Im
Incomer1]]-DR7)*1000)</f>
        <v>99.999999999994316</v>
      </c>
      <c r="EJ8" s="140">
        <f>IF((RD[[#This Row],[33 kV_F4_Ex
Incomer2]]-DS7)*1000&lt;0,0,(RD[[#This Row],[33 kV_F4_Ex
Incomer2]]-DS7)*1000)</f>
        <v>41200.000000000728</v>
      </c>
      <c r="EK8" s="140">
        <f>IF((RD[[#This Row],[34 kV_F4_Im
Incomer2]]-DT7)*1000&lt;0,0,(RD[[#This Row],[34 kV_F4_Im
Incomer2]]-DT7)*1000)</f>
        <v>99.999999999994316</v>
      </c>
      <c r="EL8" s="140">
        <f>IF((RD[[#This Row],[33 kV_F5_Ex
Incomer3]]-DU7)*1000&lt;0,0,(RD[[#This Row],[33 kV_F5_Ex
Incomer3]]-DU7)*1000)</f>
        <v>53600.000000005821</v>
      </c>
      <c r="EM8" s="140">
        <f>IF((RD[[#This Row],[34 kV_F5_Im
Incomer3]]-DV7)*1000&lt;0,0,(RD[[#This Row],[34 kV_F5_Im
Incomer3]]-DV7)*1000)</f>
        <v>300.00000000001137</v>
      </c>
      <c r="EN8" s="140">
        <f>IF((RD[[#This Row],[33 kV_F6_Ex
Incomer4]]-DW7)*1000&lt;0,0,(RD[[#This Row],[33 kV_F6_Ex
Incomer4]]-DW7)*1000)</f>
        <v>30800.000000000182</v>
      </c>
      <c r="EO8" s="140">
        <f>IF((RD[[#This Row],[33 kV_F6_Im
Incomer4]]-DX7)*1000&lt;0,0,(RD[[#This Row],[33 kV_F6_Im
Incomer4]]-DX7)*1000)</f>
        <v>100.00000000000142</v>
      </c>
      <c r="EP8" s="140">
        <f>IF((RD[[#This Row],[33 kV_F7_Ex
Incomer5]]-DY7)*1000&lt;0,0,(RD[[#This Row],[33 kV_F7_Ex
Incomer5]]-DY7)*1000)</f>
        <v>0</v>
      </c>
      <c r="EQ8" s="140">
        <f>IF((RD[[#This Row],[33 kV_F7_Im
Incomer5]]-DZ7)*1000&lt;0,0,(RD[[#This Row],[33 kV_F7_Im
Incomer5]]-DZ7)*1000)</f>
        <v>0</v>
      </c>
      <c r="ER8" s="140">
        <f>IF((RD[[#This Row],[33 kV_Aux Trafo]]-EA7)*1000&lt;0,0,(RD[[#This Row],[33 kV_Aux Trafo]]-EA7)*1000)</f>
        <v>169.99999999998749</v>
      </c>
      <c r="ES8" s="152">
        <f>IF((RD[[#This Row],[33kV_OG1_Ex_]]-EB7)*1&lt;0,0,(RD[[#This Row],[33kV_OG1_Ex_]]-EB7)*1)</f>
        <v>169574</v>
      </c>
      <c r="ET8" s="140">
        <f>IF((RD[[#This Row],[33kV_OG1_Im]]-EC7)*1&lt;0,0,(RD[[#This Row],[33kV_OG1_Im]]-EC7)*1)</f>
        <v>1270.9119999998948</v>
      </c>
      <c r="EU8" s="140">
        <f>IF((RD[[#This Row],[132kV_TX1_EX]]-ED7)*720&lt;=0,"",(RD[[#This Row],[132kV_TX1_EX]]-ED7)*720)</f>
        <v>898.56000000003405</v>
      </c>
      <c r="EV8" s="140">
        <f>IF((RD[[#This Row],[132 kV_Tx1_Im]]-EE7)*720&lt;=0,0,(RD[[#This Row],[132 kV_Tx1_Im]]-EE7)*720)</f>
        <v>120960</v>
      </c>
      <c r="EW8" s="140">
        <f>IF((RD[[#This Row],[132kV_L1_Ex]]-EF7)*720&lt;=0,0,(RD[[#This Row],[132kV_L1_Ex]]-EF7)*720)</f>
        <v>168840</v>
      </c>
      <c r="EX8" s="140">
        <f>IF((RD[[#This Row],[132kV_L1_Im]]-EG7)*720&lt;=0,0,(RD[[#This Row],[132kV_L1_Im]]-EG7)*720)</f>
        <v>1224.0000000000327</v>
      </c>
      <c r="EY8" s="140">
        <f>IFERROR(RD[[#This Row],[33kV_OG1_Ex (MWh)]]+RD[[#This Row],[33kV_OG1_Im (MWh)]],"")</f>
        <v>170844.91199999989</v>
      </c>
      <c r="EZ8" s="142">
        <f>RD[[#This Row],[33kV_OG1_Ex (MWh)]]-RD[[#This Row],[33kV_OG1_Im (MWh)]]</f>
        <v>168303.08800000011</v>
      </c>
      <c r="FA8" s="141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1">
        <v>97</v>
      </c>
      <c r="FE8" t="s">
        <v>265</v>
      </c>
      <c r="FF8"/>
      <c r="FG8"/>
    </row>
    <row r="9" spans="1:163">
      <c r="A9" s="130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46">
        <v>0.2986111111111111</v>
      </c>
      <c r="G9" s="156">
        <v>0.73263888888888884</v>
      </c>
      <c r="H9" s="121">
        <v>5003</v>
      </c>
      <c r="I9" s="121">
        <v>4966.3</v>
      </c>
      <c r="J9" s="121">
        <v>4646.8</v>
      </c>
      <c r="K9" s="121">
        <v>4677</v>
      </c>
      <c r="L9" s="121">
        <v>4827.5</v>
      </c>
      <c r="M9" s="121">
        <v>4888.8999999999996</v>
      </c>
      <c r="N9" s="121">
        <v>4624.6000000000004</v>
      </c>
      <c r="O9" s="121">
        <v>5295.5</v>
      </c>
      <c r="P9" s="121">
        <v>4897.3</v>
      </c>
      <c r="Q9" s="121">
        <v>4820.7</v>
      </c>
      <c r="R9" s="121">
        <v>5005.6000000000004</v>
      </c>
      <c r="S9" s="121">
        <v>4934.5</v>
      </c>
      <c r="T9" s="121">
        <v>5131.5</v>
      </c>
      <c r="U9" s="121">
        <v>5025.5</v>
      </c>
      <c r="V9" s="121">
        <v>5129.8999999999996</v>
      </c>
      <c r="W9" s="121">
        <v>4859.6000000000004</v>
      </c>
      <c r="X9" s="192">
        <v>6699.1</v>
      </c>
      <c r="Y9" s="192">
        <v>7746.6</v>
      </c>
      <c r="Z9" s="192">
        <v>6621.1</v>
      </c>
      <c r="AA9" s="192">
        <v>7004.6</v>
      </c>
      <c r="AB9" s="192">
        <v>7483.8</v>
      </c>
      <c r="AC9" s="192">
        <v>4593.2</v>
      </c>
      <c r="AD9" s="192">
        <v>6871.2</v>
      </c>
      <c r="AE9" s="192">
        <v>7021.8</v>
      </c>
      <c r="AF9" s="192">
        <v>6633.8</v>
      </c>
      <c r="AG9" s="192">
        <v>6760</v>
      </c>
      <c r="AH9" s="192">
        <v>6853.3</v>
      </c>
      <c r="AI9" s="192">
        <v>6880.5</v>
      </c>
      <c r="AJ9" s="136">
        <v>5733.2</v>
      </c>
      <c r="AK9" s="136">
        <v>5892.7</v>
      </c>
      <c r="AL9" s="136">
        <v>5795.3</v>
      </c>
      <c r="AM9" s="136">
        <v>5824.4</v>
      </c>
      <c r="AN9" s="136">
        <v>5788.9</v>
      </c>
      <c r="AO9" s="136">
        <v>6010.9</v>
      </c>
      <c r="AP9" s="136">
        <v>5893.7</v>
      </c>
      <c r="AQ9" s="136">
        <v>5839.8</v>
      </c>
      <c r="AR9" s="136">
        <v>4716.3</v>
      </c>
      <c r="AS9" s="136">
        <v>4731.8</v>
      </c>
      <c r="AT9" s="136">
        <v>4763.5</v>
      </c>
      <c r="AU9" s="136">
        <v>4712.8</v>
      </c>
      <c r="AV9" s="136">
        <v>4837</v>
      </c>
      <c r="AW9" s="136">
        <v>4765.8999999999996</v>
      </c>
      <c r="AX9" s="136">
        <v>6706</v>
      </c>
      <c r="AY9" s="136">
        <v>7528</v>
      </c>
      <c r="AZ9" s="136">
        <v>5443</v>
      </c>
      <c r="BA9" s="136">
        <v>6633</v>
      </c>
      <c r="BB9" s="136">
        <v>6316.7</v>
      </c>
      <c r="BC9" s="136">
        <v>4838.3999999999996</v>
      </c>
      <c r="BD9" s="136">
        <v>5078.8</v>
      </c>
      <c r="BE9" s="136">
        <v>6320.8</v>
      </c>
      <c r="BF9" s="136">
        <v>4197.5</v>
      </c>
      <c r="BG9" s="136">
        <v>287.5</v>
      </c>
      <c r="BH9" s="136">
        <v>68.099999999999994</v>
      </c>
      <c r="BI9" s="136">
        <v>632.79999999999995</v>
      </c>
      <c r="BJ9" s="136">
        <v>504</v>
      </c>
      <c r="BK9" s="136">
        <v>201</v>
      </c>
      <c r="BL9" s="136">
        <v>2120</v>
      </c>
      <c r="BM9" s="136">
        <v>2010</v>
      </c>
      <c r="BN9" s="136">
        <v>2842</v>
      </c>
      <c r="BO9" s="136">
        <v>945.4</v>
      </c>
      <c r="BP9" s="136">
        <v>831.7</v>
      </c>
      <c r="BQ9" s="136">
        <v>1890</v>
      </c>
      <c r="BR9" s="136">
        <v>0</v>
      </c>
      <c r="BS9" s="136">
        <v>0</v>
      </c>
      <c r="BT9" s="136">
        <v>206</v>
      </c>
      <c r="BU9" s="136">
        <v>97.5</v>
      </c>
      <c r="BV9" s="136"/>
      <c r="BW9" s="136"/>
      <c r="BX9" s="136"/>
      <c r="BY9" s="136"/>
      <c r="BZ9" s="136">
        <v>625</v>
      </c>
      <c r="CA9" s="136">
        <v>523</v>
      </c>
      <c r="CB9" s="136">
        <v>1460</v>
      </c>
      <c r="CC9" s="136">
        <v>1101</v>
      </c>
      <c r="CD9" s="59">
        <v>3.0988523999999997</v>
      </c>
      <c r="CE9" s="59"/>
      <c r="CF9" s="195">
        <v>4.0104408333333366</v>
      </c>
      <c r="CG9" s="195"/>
      <c r="CH9" s="195">
        <v>0.42088406666666633</v>
      </c>
      <c r="CI9" s="195"/>
      <c r="CJ9" s="59">
        <v>0.67438216666666695</v>
      </c>
      <c r="CK9" s="59"/>
      <c r="CL9" s="195">
        <v>28.203182692307703</v>
      </c>
      <c r="CM9" s="195"/>
      <c r="CN9" s="195">
        <v>36.144302884615364</v>
      </c>
      <c r="CO9" s="195"/>
      <c r="CP9" s="195">
        <v>46.216826923076923</v>
      </c>
      <c r="CQ9" s="195"/>
      <c r="CR9" s="59">
        <v>0.23300000000000001</v>
      </c>
      <c r="CS9" s="59"/>
      <c r="CT9" s="195">
        <v>1.461758653846152</v>
      </c>
      <c r="CU9" s="195"/>
      <c r="CV9" s="195">
        <v>2.88</v>
      </c>
      <c r="CW9" s="247"/>
      <c r="CX9" s="193">
        <f>IFERROR(AVERAGEIF(RD[[#This Row],[IS1POA1 (KWh/m2)]:[IS7POA2 (KWh/m2)]],"&lt;&gt;0",RD[[#This Row],[IS1POA1 (KWh/m2)]:[IS7POA2 (KWh/m2)]]),"")</f>
        <v>3.0988523999999997</v>
      </c>
      <c r="CY9" s="193">
        <f>IFERROR(AVERAGEIF(RD[[#This Row],[IS1GHI1 (KWh/m2)]:[IS7GHI2 (KWh/m2)]],"&lt;&gt;0",RD[[#This Row],[IS1GHI1 (KWh/m2)]:[IS7GHI2 (KWh/m2)]]),"")</f>
        <v>4.0104408333333366</v>
      </c>
      <c r="CZ9" s="193">
        <f>IFERROR(AVERAGEIF(RD[[#This Row],[IS1POA_BS1 (KWh/m2)]:[IS7POA_BS2 (KWh/m2)]],"&lt;&gt;0",RD[[#This Row],[IS1POA_BS1 (KWh/m2)]:[IS7POA_BS2 (KWh/m2)]]),"")</f>
        <v>0.42088406666666633</v>
      </c>
      <c r="DA9" s="193">
        <f>IFERROR(AVERAGEIF(RD[[#This Row],[IS1GHI_BS1 (KWh/m2)]:[IS1GHI_BS1 (KWh/m2)2]],"&lt;&gt;0",RD[[#This Row],[IS1GHI_BS1 (KWh/m2)]:[IS1GHI_BS1 (KWh/m2)2]]),"")</f>
        <v>0.67438216666666695</v>
      </c>
      <c r="DB9" s="193">
        <f>IFERROR(AVERAGEIF(RD[[#This Row],[IS1AT1 (°C)]:[IS7AT2 (°C)]],"&lt;&gt;0",RD[[#This Row],[IS1AT1 (°C)]:[IS7AT2 (°C)]]),"")</f>
        <v>28.203182692307703</v>
      </c>
      <c r="DC9" s="193">
        <f>IFERROR(AVERAGEIF(RD[[#This Row],[IS1MT1 (°C)]:[IS7MT2 (°C)]],"&lt;&gt;0",RD[[#This Row],[IS1MT1 (°C)]:[IS7MT2 (°C)]]),"")</f>
        <v>36.144302884615364</v>
      </c>
      <c r="DD9" s="193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193">
        <f>IFERROR(AVERAGEIF(RD[[#This Row],[WS_Solar1_Avg (m/s)]:[IS7_WS_Solar1_Avg (m/s)]],"&lt;&gt;0",RD[[#This Row],[WS_Solar1_Avg (m/s)]:[IS7_WS_Solar1_Avg (m/s)]]),"")</f>
        <v>1.461758653846152</v>
      </c>
      <c r="DG9" s="193">
        <f>IFERROR(AVERAGEIF(RD[[#This Row],[WS_Solar1_Max (m/s)]:[IS7_WS_Solar1_Max (m/s)]],"&lt;&gt;0",RD[[#This Row],[WS_Solar1_Max (m/s)]:[IS7_WS_Solar1_Max (m/s)]]),"")</f>
        <v>2.88</v>
      </c>
      <c r="DH9" s="193">
        <f>SUM(RD[[#This Row],[IS1Inv1M1]:[IS4Inv4M2]])</f>
        <v>159903.19999999998</v>
      </c>
      <c r="DI9" s="194">
        <f>SUM(RD[[#This Row],[IS7Inv1M1]]+RD[[#This Row],[IS7Inv2M1]])</f>
        <v>9448.1</v>
      </c>
      <c r="DJ9" s="193">
        <f>SUM(RD[[#This Row],[IS5Inv1M1]:[IS5Inv2M2]])</f>
        <v>23245.599999999999</v>
      </c>
      <c r="DK9" s="193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75">
        <f>SUM(RD[[#This Row],[IS12Inv1M1]:[IS12Inv1M4]])</f>
        <v>6509.1</v>
      </c>
      <c r="DO9" s="275">
        <f>SUM(RD[[#This Row],[IS13Inv1M1]:[IS13Inv2M2]])</f>
        <v>303.5</v>
      </c>
      <c r="DP9" s="193">
        <f>SUM(RD[[#This Row],[O2R15]:[O2R26]])</f>
        <v>304616.59999999992</v>
      </c>
      <c r="DQ9" s="162">
        <v>34853.300000000003</v>
      </c>
      <c r="DR9" s="166">
        <v>196.3</v>
      </c>
      <c r="DS9" s="158">
        <v>29711.9</v>
      </c>
      <c r="DT9" s="162">
        <v>209.5</v>
      </c>
      <c r="DU9" s="166">
        <v>33827.599999999999</v>
      </c>
      <c r="DV9" s="166">
        <v>375.6</v>
      </c>
      <c r="DW9" s="162">
        <v>2910.9</v>
      </c>
      <c r="DX9" s="166">
        <v>12.9</v>
      </c>
      <c r="DY9" s="166"/>
      <c r="DZ9" s="166"/>
      <c r="EA9" s="165">
        <v>83.57</v>
      </c>
      <c r="EB9" s="163">
        <v>102087270</v>
      </c>
      <c r="EC9" s="131">
        <v>841200.76800000004</v>
      </c>
      <c r="ED9" s="163">
        <v>1002</v>
      </c>
      <c r="EE9" s="163">
        <v>96483</v>
      </c>
      <c r="EF9" s="162">
        <v>141645.20000000001</v>
      </c>
      <c r="EG9" s="234">
        <v>1667.3</v>
      </c>
      <c r="EH9" s="140">
        <f>IF((RD[[#This Row],[33 kV_F3_Ex
Incomer1]]-DQ8)*1000&lt;0,0,(RD[[#This Row],[33 kV_F3_Ex
Incomer1]]-DQ8)*1000)</f>
        <v>80800.00000000291</v>
      </c>
      <c r="EI9" s="140">
        <f>IF((RD[[#This Row],[34 kV_F3_Im
Incomer1]]-DR8)*1000&lt;0,0,(RD[[#This Row],[34 kV_F3_Im
Incomer1]]-DR8)*1000)</f>
        <v>400.00000000000568</v>
      </c>
      <c r="EJ9" s="140">
        <f>IF((RD[[#This Row],[33 kV_F4_Ex
Incomer2]]-DS8)*1000&lt;0,0,(RD[[#This Row],[33 kV_F4_Ex
Incomer2]]-DS8)*1000)</f>
        <v>77200.000000000728</v>
      </c>
      <c r="EK9" s="140">
        <f>IF((RD[[#This Row],[34 kV_F4_Im
Incomer2]]-DT8)*1000&lt;0,0,(RD[[#This Row],[34 kV_F4_Im
Incomer2]]-DT8)*1000)</f>
        <v>400.00000000000568</v>
      </c>
      <c r="EL9" s="140">
        <f>IF((RD[[#This Row],[33 kV_F5_Ex
Incomer3]]-DU8)*1000&lt;0,0,(RD[[#This Row],[33 kV_F5_Ex
Incomer3]]-DU8)*1000)</f>
        <v>100799.99999999563</v>
      </c>
      <c r="EM9" s="140">
        <f>IF((RD[[#This Row],[34 kV_F5_Im
Incomer3]]-DV8)*1000&lt;0,0,(RD[[#This Row],[34 kV_F5_Im
Incomer3]]-DV8)*1000)</f>
        <v>800.00000000001137</v>
      </c>
      <c r="EN9" s="140">
        <f>IF((RD[[#This Row],[33 kV_F6_Ex
Incomer4]]-DW8)*1000&lt;0,0,(RD[[#This Row],[33 kV_F6_Ex
Incomer4]]-DW8)*1000)</f>
        <v>47900.000000000087</v>
      </c>
      <c r="EO9" s="140">
        <f>IF((RD[[#This Row],[33 kV_F6_Im
Incomer4]]-DX8)*1000&lt;0,0,(RD[[#This Row],[33 kV_F6_Im
Incomer4]]-DX8)*1000)</f>
        <v>599.99999999999966</v>
      </c>
      <c r="EP9" s="140">
        <f>IF((RD[[#This Row],[33 kV_F7_Ex
Incomer5]]-DY8)*1000&lt;0,0,(RD[[#This Row],[33 kV_F7_Ex
Incomer5]]-DY8)*1000)</f>
        <v>0</v>
      </c>
      <c r="EQ9" s="140">
        <f>IF((RD[[#This Row],[33 kV_F7_Im
Incomer5]]-DZ8)*1000&lt;0,0,(RD[[#This Row],[33 kV_F7_Im
Incomer5]]-DZ8)*1000)</f>
        <v>0</v>
      </c>
      <c r="ER9" s="140">
        <f>IF((RD[[#This Row],[33 kV_Aux Trafo]]-EA8)*1000&lt;0,0,(RD[[#This Row],[33 kV_Aux Trafo]]-EA8)*1000)</f>
        <v>250</v>
      </c>
      <c r="ES9" s="152">
        <f>IF((RD[[#This Row],[33kV_OG1_Ex_]]-EB8)*1&lt;0,0,(RD[[#This Row],[33kV_OG1_Ex_]]-EB8)*1)</f>
        <v>307413</v>
      </c>
      <c r="ET9" s="140">
        <f>IF((RD[[#This Row],[33kV_OG1_Im]]-EC8)*1&lt;0,0,(RD[[#This Row],[33kV_OG1_Im]]-EC8)*1)</f>
        <v>1940.4800000000978</v>
      </c>
      <c r="EU9" s="140">
        <f>IF((RD[[#This Row],[132kV_TX1_EX]]-ED8)*720&lt;=0,"",(RD[[#This Row],[132kV_TX1_EX]]-ED8)*720)</f>
        <v>1866.2399999999889</v>
      </c>
      <c r="EV9" s="140">
        <f>IF((RD[[#This Row],[132 kV_Tx1_Im]]-EE8)*720&lt;=0,0,(RD[[#This Row],[132 kV_Tx1_Im]]-EE8)*720)</f>
        <v>221040</v>
      </c>
      <c r="EW9" s="140">
        <f>IF((RD[[#This Row],[132kV_L1_Ex]]-EF8)*720&lt;=0,0,(RD[[#This Row],[132kV_L1_Ex]]-EF8)*720)</f>
        <v>306360</v>
      </c>
      <c r="EX9" s="140">
        <f>IF((RD[[#This Row],[132kV_L1_Im]]-EG8)*720&lt;=0,0,(RD[[#This Row],[132kV_L1_Im]]-EG8)*720)</f>
        <v>2807.9999999999018</v>
      </c>
      <c r="EY9" s="238">
        <f>IFERROR(RD[[#This Row],[33kV_OG1_Ex (MWh)]]+RD[[#This Row],[33kV_OG1_Im (MWh)]],"")</f>
        <v>309353.4800000001</v>
      </c>
      <c r="EZ9" s="142">
        <f>RD[[#This Row],[33kV_OG1_Ex (MWh)]]-RD[[#This Row],[33kV_OG1_Im (MWh)]]</f>
        <v>305472.5199999999</v>
      </c>
      <c r="FA9" s="142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32">
        <f>IFERROR((RD[[#This Row],[Sunset Time (POA&lt;20 W/m2)]]-RD[[#This Row],[Sunrise Time (POA&gt;20 W/m2)]])*24,0)</f>
        <v>10.416666666666666</v>
      </c>
      <c r="FD9" s="233">
        <v>97</v>
      </c>
      <c r="FE9" s="287" t="s">
        <v>266</v>
      </c>
      <c r="FF9"/>
      <c r="FG9"/>
    </row>
    <row r="10" spans="1:163">
      <c r="A10" s="130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46">
        <v>0.32291666666666669</v>
      </c>
      <c r="G10" s="156">
        <v>0.74305555555555558</v>
      </c>
      <c r="H10" s="121">
        <v>6100.5</v>
      </c>
      <c r="I10" s="121">
        <v>6126</v>
      </c>
      <c r="J10" s="121">
        <v>5801.6</v>
      </c>
      <c r="K10" s="121">
        <v>5758.8</v>
      </c>
      <c r="L10" s="121">
        <v>5917.3</v>
      </c>
      <c r="M10" s="121">
        <v>6011.4</v>
      </c>
      <c r="N10" s="121">
        <v>5752.3</v>
      </c>
      <c r="O10" s="121">
        <v>6309.6</v>
      </c>
      <c r="P10" s="121">
        <v>5908</v>
      </c>
      <c r="Q10" s="121">
        <v>5806.3</v>
      </c>
      <c r="R10" s="121">
        <v>5993.5</v>
      </c>
      <c r="S10" s="121">
        <v>6001.1</v>
      </c>
      <c r="T10" s="121">
        <v>6098.2</v>
      </c>
      <c r="U10" s="121">
        <v>6082.3</v>
      </c>
      <c r="V10" s="121">
        <v>6068.2</v>
      </c>
      <c r="W10" s="121">
        <v>5902.6</v>
      </c>
      <c r="X10" s="192">
        <v>8511.2000000000007</v>
      </c>
      <c r="Y10" s="192">
        <v>9391.9</v>
      </c>
      <c r="Z10" s="192">
        <v>8317.1</v>
      </c>
      <c r="AA10" s="192">
        <v>8708.6</v>
      </c>
      <c r="AB10" s="192">
        <v>2091.8000000000002</v>
      </c>
      <c r="AC10" s="192">
        <v>1266.5999999999999</v>
      </c>
      <c r="AD10" s="192">
        <v>1905.3</v>
      </c>
      <c r="AE10" s="192">
        <v>1939.2</v>
      </c>
      <c r="AF10" s="192">
        <v>1823.7</v>
      </c>
      <c r="AG10" s="192">
        <v>1868</v>
      </c>
      <c r="AH10" s="192">
        <v>1890.9</v>
      </c>
      <c r="AI10" s="192">
        <v>1900.8</v>
      </c>
      <c r="AJ10" s="136">
        <v>7088.4</v>
      </c>
      <c r="AK10" s="136">
        <v>7272.5</v>
      </c>
      <c r="AL10" s="136">
        <v>7031.6</v>
      </c>
      <c r="AM10" s="136">
        <v>7120</v>
      </c>
      <c r="AN10" s="136">
        <v>7093.9</v>
      </c>
      <c r="AO10" s="136">
        <v>7338</v>
      </c>
      <c r="AP10" s="136">
        <v>7230.5</v>
      </c>
      <c r="AQ10" s="136">
        <v>7102.2</v>
      </c>
      <c r="AR10" s="136">
        <v>5745.5</v>
      </c>
      <c r="AS10" s="136">
        <v>5769.3</v>
      </c>
      <c r="AT10" s="136">
        <v>5762.3</v>
      </c>
      <c r="AU10" s="136">
        <v>5792.1</v>
      </c>
      <c r="AV10" s="136">
        <v>5890.7</v>
      </c>
      <c r="AW10" s="136">
        <v>5793.7</v>
      </c>
      <c r="AX10" s="136">
        <v>8246</v>
      </c>
      <c r="AY10" s="136">
        <v>8945</v>
      </c>
      <c r="AZ10" s="136">
        <v>6593</v>
      </c>
      <c r="BA10" s="136">
        <v>7964</v>
      </c>
      <c r="BB10" s="136">
        <v>6741.3</v>
      </c>
      <c r="BC10" s="136">
        <v>5133.8</v>
      </c>
      <c r="BD10" s="136">
        <v>5389.4</v>
      </c>
      <c r="BE10" s="136">
        <v>6687.4</v>
      </c>
      <c r="BF10" s="136">
        <v>5532.7</v>
      </c>
      <c r="BG10" s="136">
        <v>6423.4</v>
      </c>
      <c r="BH10" s="136">
        <v>3852.3</v>
      </c>
      <c r="BI10" s="136">
        <v>1692.8</v>
      </c>
      <c r="BJ10" s="136">
        <v>1571.5</v>
      </c>
      <c r="BK10" s="136">
        <v>650.70000000000005</v>
      </c>
      <c r="BL10" s="136">
        <v>4128.1000000000004</v>
      </c>
      <c r="BM10" s="136">
        <v>4178.8999999999996</v>
      </c>
      <c r="BN10" s="136">
        <v>3745</v>
      </c>
      <c r="BO10" s="136">
        <v>1076</v>
      </c>
      <c r="BP10" s="136">
        <v>1298</v>
      </c>
      <c r="BQ10" s="136">
        <v>2058</v>
      </c>
      <c r="BR10" s="136">
        <v>0</v>
      </c>
      <c r="BS10" s="136">
        <v>0</v>
      </c>
      <c r="BT10" s="136">
        <v>497</v>
      </c>
      <c r="BU10" s="136">
        <v>393</v>
      </c>
      <c r="BV10" s="136"/>
      <c r="BW10" s="136"/>
      <c r="BX10" s="136"/>
      <c r="BY10" s="136"/>
      <c r="BZ10" s="136">
        <v>771.7</v>
      </c>
      <c r="CA10" s="136">
        <v>659</v>
      </c>
      <c r="CB10" s="136">
        <v>2762.4</v>
      </c>
      <c r="CC10" s="136">
        <v>1805.4</v>
      </c>
      <c r="CD10" s="59">
        <v>4.5550656999999966</v>
      </c>
      <c r="CE10" s="59"/>
      <c r="CF10" s="195">
        <v>4.3913989166666703</v>
      </c>
      <c r="CG10" s="195"/>
      <c r="CH10" s="195">
        <v>0.50570113333333389</v>
      </c>
      <c r="CI10" s="195"/>
      <c r="CJ10" s="59">
        <v>0.74058401666666573</v>
      </c>
      <c r="CK10" s="59"/>
      <c r="CL10" s="195">
        <v>26.490573770491778</v>
      </c>
      <c r="CM10" s="195"/>
      <c r="CN10" s="195">
        <v>34.034232786885255</v>
      </c>
      <c r="CO10" s="195"/>
      <c r="CP10" s="195">
        <v>68.447180327868821</v>
      </c>
      <c r="CQ10" s="195"/>
      <c r="CR10" s="59">
        <v>8.819672131147567E-2</v>
      </c>
      <c r="CS10" s="59"/>
      <c r="CT10" s="195">
        <v>1.0990622950819684</v>
      </c>
      <c r="CU10" s="195"/>
      <c r="CV10" s="195">
        <v>2.952</v>
      </c>
      <c r="CW10" s="247"/>
      <c r="CX10" s="193">
        <f>IFERROR(AVERAGEIF(RD[[#This Row],[IS1POA1 (KWh/m2)]:[IS7POA2 (KWh/m2)]],"&lt;&gt;0",RD[[#This Row],[IS1POA1 (KWh/m2)]:[IS7POA2 (KWh/m2)]]),"")</f>
        <v>4.5550656999999966</v>
      </c>
      <c r="CY10" s="193">
        <f>IFERROR(AVERAGEIF(RD[[#This Row],[IS1GHI1 (KWh/m2)]:[IS7GHI2 (KWh/m2)]],"&lt;&gt;0",RD[[#This Row],[IS1GHI1 (KWh/m2)]:[IS7GHI2 (KWh/m2)]]),"")</f>
        <v>4.3913989166666703</v>
      </c>
      <c r="CZ10" s="193">
        <f>IFERROR(AVERAGEIF(RD[[#This Row],[IS1POA_BS1 (KWh/m2)]:[IS7POA_BS2 (KWh/m2)]],"&lt;&gt;0",RD[[#This Row],[IS1POA_BS1 (KWh/m2)]:[IS7POA_BS2 (KWh/m2)]]),"")</f>
        <v>0.50570113333333389</v>
      </c>
      <c r="DA10" s="193">
        <f>IFERROR(AVERAGEIF(RD[[#This Row],[IS1GHI_BS1 (KWh/m2)]:[IS1GHI_BS1 (KWh/m2)2]],"&lt;&gt;0",RD[[#This Row],[IS1GHI_BS1 (KWh/m2)]:[IS1GHI_BS1 (KWh/m2)2]]),"")</f>
        <v>0.74058401666666573</v>
      </c>
      <c r="DB10" s="193">
        <f>IFERROR(AVERAGEIF(RD[[#This Row],[IS1AT1 (°C)]:[IS7AT2 (°C)]],"&lt;&gt;0",RD[[#This Row],[IS1AT1 (°C)]:[IS7AT2 (°C)]]),"")</f>
        <v>26.490573770491778</v>
      </c>
      <c r="DC10" s="193">
        <f>IFERROR(AVERAGEIF(RD[[#This Row],[IS1MT1 (°C)]:[IS7MT2 (°C)]],"&lt;&gt;0",RD[[#This Row],[IS1MT1 (°C)]:[IS7MT2 (°C)]]),"")</f>
        <v>34.034232786885255</v>
      </c>
      <c r="DD10" s="193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193">
        <f>IFERROR(AVERAGEIF(RD[[#This Row],[WS_Solar1_Avg (m/s)]:[IS7_WS_Solar1_Avg (m/s)]],"&lt;&gt;0",RD[[#This Row],[WS_Solar1_Avg (m/s)]:[IS7_WS_Solar1_Avg (m/s)]]),"")</f>
        <v>1.0990622950819684</v>
      </c>
      <c r="DG10" s="193">
        <f>IFERROR(AVERAGEIF(RD[[#This Row],[WS_Solar1_Max (m/s)]:[IS7_WS_Solar1_Max (m/s)]],"&lt;&gt;0",RD[[#This Row],[WS_Solar1_Max (m/s)]:[IS7_WS_Solar1_Max (m/s)]]),"")</f>
        <v>2.952</v>
      </c>
      <c r="DH10" s="193">
        <f>SUM(RD[[#This Row],[IS1Inv1M1]:[IS4Inv4M2]])</f>
        <v>145252.80000000002</v>
      </c>
      <c r="DI10" s="194">
        <f>SUM(RD[[#This Row],[IS7Inv1M1]]+RD[[#This Row],[IS7Inv2M1]])</f>
        <v>11514.8</v>
      </c>
      <c r="DJ10" s="193">
        <f>SUM(RD[[#This Row],[IS5Inv1M1]:[IS5Inv2M2]])</f>
        <v>28512.5</v>
      </c>
      <c r="DK10" s="193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75">
        <f>SUM(RD[[#This Row],[IS12Inv1M1]:[IS12Inv1M4]])</f>
        <v>8177</v>
      </c>
      <c r="DO10" s="275">
        <f>SUM(RD[[#This Row],[IS13Inv1M1]:[IS13Inv2M2]])</f>
        <v>890</v>
      </c>
      <c r="DP10" s="193">
        <f>SUM(RD[[#This Row],[O2R15]:[O2R26]])</f>
        <v>336079.3</v>
      </c>
      <c r="DQ10" s="162">
        <v>34902.5</v>
      </c>
      <c r="DR10" s="162">
        <v>196.5</v>
      </c>
      <c r="DS10" s="158">
        <v>29804.6</v>
      </c>
      <c r="DT10" s="162">
        <v>209.7</v>
      </c>
      <c r="DU10" s="162">
        <v>33949.5</v>
      </c>
      <c r="DV10" s="162">
        <v>375.9</v>
      </c>
      <c r="DW10" s="162">
        <v>2977.2</v>
      </c>
      <c r="DX10" s="162">
        <v>13.2</v>
      </c>
      <c r="DY10" s="162"/>
      <c r="DZ10" s="162"/>
      <c r="EA10" s="134">
        <v>83.8</v>
      </c>
      <c r="EB10" s="163">
        <v>102418341</v>
      </c>
      <c r="EC10" s="131">
        <v>842331.45600000001</v>
      </c>
      <c r="ED10" s="163">
        <v>1004</v>
      </c>
      <c r="EE10" s="163">
        <v>96812</v>
      </c>
      <c r="EF10" s="162">
        <v>142103.4</v>
      </c>
      <c r="EG10" s="158">
        <v>1669.8</v>
      </c>
      <c r="EH10" s="140">
        <f>IF((RD[[#This Row],[33 kV_F3_Ex
Incomer1]]-DQ9)*1000&lt;0,0,(RD[[#This Row],[33 kV_F3_Ex
Incomer1]]-DQ9)*1000)</f>
        <v>49199.99999999709</v>
      </c>
      <c r="EI10" s="140">
        <f>IF((RD[[#This Row],[34 kV_F3_Im
Incomer1]]-DR9)*1000&lt;0,0,(RD[[#This Row],[34 kV_F3_Im
Incomer1]]-DR9)*1000)</f>
        <v>199.99999999998863</v>
      </c>
      <c r="EJ10" s="140">
        <f>IF((RD[[#This Row],[33 kV_F4_Ex
Incomer2]]-DS9)*1000&lt;0,0,(RD[[#This Row],[33 kV_F4_Ex
Incomer2]]-DS9)*1000)</f>
        <v>92699.99999999709</v>
      </c>
      <c r="EK10" s="140">
        <f>IF((RD[[#This Row],[34 kV_F4_Im
Incomer2]]-DT9)*1000&lt;0,0,(RD[[#This Row],[34 kV_F4_Im
Incomer2]]-DT9)*1000)</f>
        <v>199.99999999998863</v>
      </c>
      <c r="EL10" s="140">
        <f>IF((RD[[#This Row],[33 kV_F5_Ex
Incomer3]]-DU9)*1000&lt;0,0,(RD[[#This Row],[33 kV_F5_Ex
Incomer3]]-DU9)*1000)</f>
        <v>121900.00000000146</v>
      </c>
      <c r="EM10" s="140">
        <f>IF((RD[[#This Row],[34 kV_F5_Im
Incomer3]]-DV9)*1000&lt;0,0,(RD[[#This Row],[34 kV_F5_Im
Incomer3]]-DV9)*1000)</f>
        <v>299.99999999995453</v>
      </c>
      <c r="EN10" s="140">
        <f>IF((RD[[#This Row],[33 kV_F6_Ex
Incomer4]]-DW9)*1000&lt;0,0,(RD[[#This Row],[33 kV_F6_Ex
Incomer4]]-DW9)*1000)</f>
        <v>66299.999999999724</v>
      </c>
      <c r="EO10" s="140">
        <f>IF((RD[[#This Row],[33 kV_F6_Im
Incomer4]]-DX9)*1000&lt;0,0,(RD[[#This Row],[33 kV_F6_Im
Incomer4]]-DX9)*1000)</f>
        <v>299.99999999999892</v>
      </c>
      <c r="EP10" s="140">
        <f>IF((RD[[#This Row],[33 kV_F7_Ex
Incomer5]]-DY9)*1000&lt;0,0,(RD[[#This Row],[33 kV_F7_Ex
Incomer5]]-DY9)*1000)</f>
        <v>0</v>
      </c>
      <c r="EQ10" s="140">
        <f>IF((RD[[#This Row],[33 kV_F7_Im
Incomer5]]-DZ9)*1000&lt;0,0,(RD[[#This Row],[33 kV_F7_Im
Incomer5]]-DZ9)*1000)</f>
        <v>0</v>
      </c>
      <c r="ER10" s="140">
        <f>IF((RD[[#This Row],[33 kV_Aux Trafo]]-EA9)*1000&lt;0,0,(RD[[#This Row],[33 kV_Aux Trafo]]-EA9)*1000)</f>
        <v>230.00000000000398</v>
      </c>
      <c r="ES10" s="152">
        <f>IF((RD[[#This Row],[33kV_OG1_Ex_]]-EB9)*1&lt;0,0,(RD[[#This Row],[33kV_OG1_Ex_]]-EB9)*1)</f>
        <v>331071</v>
      </c>
      <c r="ET10" s="140">
        <f>IF((RD[[#This Row],[33kV_OG1_Im]]-EC9)*1&lt;0,0,(RD[[#This Row],[33kV_OG1_Im]]-EC9)*1)</f>
        <v>1130.6879999999655</v>
      </c>
      <c r="EU10" s="140">
        <f>IF((RD[[#This Row],[132kV_TX1_EX]]-ED9)*720&lt;=0,"",(RD[[#This Row],[132kV_TX1_EX]]-ED9)*720)</f>
        <v>1440</v>
      </c>
      <c r="EV10" s="140">
        <f>IF((RD[[#This Row],[132 kV_Tx1_Im]]-EE9)*720&lt;=0,0,(RD[[#This Row],[132 kV_Tx1_Im]]-EE9)*720)</f>
        <v>236880</v>
      </c>
      <c r="EW10" s="140">
        <f>IF((RD[[#This Row],[132kV_L1_Ex]]-EF9)*720&lt;=0,0,(RD[[#This Row],[132kV_L1_Ex]]-EF9)*720)</f>
        <v>329903.99999998743</v>
      </c>
      <c r="EX10" s="140">
        <f>IF((RD[[#This Row],[132kV_L1_Im]]-EG9)*720&lt;=0,0,(RD[[#This Row],[132kV_L1_Im]]-EG9)*720)</f>
        <v>1800</v>
      </c>
      <c r="EY10" s="231">
        <f>IFERROR(RD[[#This Row],[33kV_OG1_Ex (MWh)]]+RD[[#This Row],[33kV_OG1_Im (MWh)]],"")</f>
        <v>332201.68799999997</v>
      </c>
      <c r="EZ10" s="142">
        <f>RD[[#This Row],[33kV_OG1_Ex (MWh)]]-RD[[#This Row],[33kV_OG1_Im (MWh)]]</f>
        <v>329940.31200000003</v>
      </c>
      <c r="FA10" s="142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32">
        <f>IFERROR((RD[[#This Row],[Sunset Time (POA&lt;20 W/m2)]]-RD[[#This Row],[Sunrise Time (POA&gt;20 W/m2)]])*24,0)</f>
        <v>10.083333333333334</v>
      </c>
      <c r="FD10" s="233">
        <v>98</v>
      </c>
      <c r="FE10" t="s">
        <v>267</v>
      </c>
      <c r="FF10"/>
      <c r="FG10"/>
    </row>
    <row r="11" spans="1:163">
      <c r="A11" s="130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46">
        <v>0.27361111111111114</v>
      </c>
      <c r="G11" s="156">
        <v>0.76944444444444449</v>
      </c>
      <c r="H11" s="121">
        <v>8967.2000000000007</v>
      </c>
      <c r="I11" s="121">
        <v>8913.2999999999993</v>
      </c>
      <c r="J11" s="121">
        <v>8392.2999999999993</v>
      </c>
      <c r="K11" s="121">
        <v>8461.1</v>
      </c>
      <c r="L11" s="121">
        <v>8690.7000000000007</v>
      </c>
      <c r="M11" s="121">
        <v>8812.7999999999993</v>
      </c>
      <c r="N11" s="121">
        <v>8390.6</v>
      </c>
      <c r="O11" s="121">
        <v>9306.6</v>
      </c>
      <c r="P11" s="121">
        <v>8557.4</v>
      </c>
      <c r="Q11" s="121">
        <v>8500.5</v>
      </c>
      <c r="R11" s="121">
        <v>8742.6</v>
      </c>
      <c r="S11" s="121">
        <v>8717.2000000000007</v>
      </c>
      <c r="T11" s="121">
        <v>8866</v>
      </c>
      <c r="U11" s="121">
        <v>8733.1</v>
      </c>
      <c r="V11" s="121">
        <v>8824.9</v>
      </c>
      <c r="W11" s="121">
        <v>8595.4</v>
      </c>
      <c r="X11" s="192">
        <v>12050.4</v>
      </c>
      <c r="Y11" s="192">
        <v>13316.1</v>
      </c>
      <c r="Z11" s="192">
        <v>11851.6</v>
      </c>
      <c r="AA11" s="192">
        <v>12477.9</v>
      </c>
      <c r="AB11" s="192">
        <v>12654.6</v>
      </c>
      <c r="AC11" s="192">
        <v>7933.6</v>
      </c>
      <c r="AD11" s="192">
        <v>12299</v>
      </c>
      <c r="AE11" s="192">
        <v>12526.2</v>
      </c>
      <c r="AF11" s="192">
        <v>11913.4</v>
      </c>
      <c r="AG11" s="192">
        <v>12213</v>
      </c>
      <c r="AH11" s="192">
        <v>12203.7</v>
      </c>
      <c r="AI11" s="192">
        <v>12286.6</v>
      </c>
      <c r="AJ11" s="136">
        <v>10133.700000000001</v>
      </c>
      <c r="AK11" s="136">
        <v>10432.799999999999</v>
      </c>
      <c r="AL11" s="136">
        <v>10154.700000000001</v>
      </c>
      <c r="AM11" s="136">
        <v>10309.5</v>
      </c>
      <c r="AN11" s="136">
        <v>10227.1</v>
      </c>
      <c r="AO11" s="136">
        <v>10613.4</v>
      </c>
      <c r="AP11" s="136">
        <v>10415.700000000001</v>
      </c>
      <c r="AQ11" s="136">
        <v>10266</v>
      </c>
      <c r="AR11" s="136">
        <v>8420</v>
      </c>
      <c r="AS11" s="136">
        <v>8456.4</v>
      </c>
      <c r="AT11" s="136">
        <v>8418.7000000000007</v>
      </c>
      <c r="AU11" s="136">
        <v>8476.1</v>
      </c>
      <c r="AV11" s="136">
        <v>8701.1</v>
      </c>
      <c r="AW11" s="136">
        <v>8511</v>
      </c>
      <c r="AX11" s="136">
        <v>11886</v>
      </c>
      <c r="AY11" s="136">
        <v>13035</v>
      </c>
      <c r="AZ11" s="136">
        <v>8751</v>
      </c>
      <c r="BA11" s="136">
        <v>11436</v>
      </c>
      <c r="BB11" s="136">
        <v>11540</v>
      </c>
      <c r="BC11" s="136">
        <v>8858</v>
      </c>
      <c r="BD11" s="136">
        <v>9367</v>
      </c>
      <c r="BE11" s="136">
        <v>11532</v>
      </c>
      <c r="BF11" s="136">
        <v>9551</v>
      </c>
      <c r="BG11" s="136">
        <v>11214</v>
      </c>
      <c r="BH11" s="136">
        <v>6651</v>
      </c>
      <c r="BI11" s="136">
        <v>3393</v>
      </c>
      <c r="BJ11" s="136">
        <v>2915</v>
      </c>
      <c r="BK11" s="136">
        <v>1140</v>
      </c>
      <c r="BL11" s="136">
        <v>7050</v>
      </c>
      <c r="BM11" s="136">
        <v>7124</v>
      </c>
      <c r="BN11" s="136">
        <v>6730</v>
      </c>
      <c r="BO11" s="136">
        <v>2989</v>
      </c>
      <c r="BP11" s="136">
        <v>3660</v>
      </c>
      <c r="BQ11" s="136">
        <v>3515</v>
      </c>
      <c r="BR11" s="136">
        <v>0</v>
      </c>
      <c r="BS11" s="136">
        <v>0</v>
      </c>
      <c r="BT11" s="136">
        <v>844.9</v>
      </c>
      <c r="BU11" s="136">
        <v>669.9</v>
      </c>
      <c r="BV11" s="136"/>
      <c r="BW11" s="136"/>
      <c r="BX11" s="136"/>
      <c r="BY11" s="136"/>
      <c r="BZ11" s="136">
        <v>1320</v>
      </c>
      <c r="CA11" s="136">
        <v>1127.9000000000001</v>
      </c>
      <c r="CB11" s="136">
        <v>4632</v>
      </c>
      <c r="CC11" s="136">
        <v>3738</v>
      </c>
      <c r="CD11" s="59">
        <v>6.7136915833333282</v>
      </c>
      <c r="CE11" s="59"/>
      <c r="CF11" s="195">
        <v>6.6430321000000063</v>
      </c>
      <c r="CG11" s="195"/>
      <c r="CH11" s="195">
        <v>0.77825446666666664</v>
      </c>
      <c r="CI11" s="195"/>
      <c r="CJ11" s="59">
        <v>1.1981101500000002</v>
      </c>
      <c r="CK11" s="59"/>
      <c r="CL11" s="195">
        <v>28.981240174672486</v>
      </c>
      <c r="CM11" s="195"/>
      <c r="CN11" s="195">
        <v>37.302214847161579</v>
      </c>
      <c r="CO11" s="195"/>
      <c r="CP11" s="195">
        <v>51.14529257641933</v>
      </c>
      <c r="CQ11" s="195"/>
      <c r="CR11" s="59">
        <v>0</v>
      </c>
      <c r="CS11" s="59"/>
      <c r="CT11" s="195">
        <v>0.73128471615720525</v>
      </c>
      <c r="CU11" s="195"/>
      <c r="CV11" s="195">
        <v>2.9550000000000001</v>
      </c>
      <c r="CW11" s="247"/>
      <c r="CX11" s="193">
        <f>IFERROR(AVERAGEIF(RD[[#This Row],[IS1POA1 (KWh/m2)]:[IS7POA2 (KWh/m2)]],"&lt;&gt;0",RD[[#This Row],[IS1POA1 (KWh/m2)]:[IS7POA2 (KWh/m2)]]),"")</f>
        <v>6.7136915833333282</v>
      </c>
      <c r="CY11" s="193">
        <f>IFERROR(AVERAGEIF(RD[[#This Row],[IS1GHI1 (KWh/m2)]:[IS7GHI2 (KWh/m2)]],"&lt;&gt;0",RD[[#This Row],[IS1GHI1 (KWh/m2)]:[IS7GHI2 (KWh/m2)]]),"")</f>
        <v>6.6430321000000063</v>
      </c>
      <c r="CZ11" s="193">
        <f>IFERROR(AVERAGEIF(RD[[#This Row],[IS1POA_BS1 (KWh/m2)]:[IS7POA_BS2 (KWh/m2)]],"&lt;&gt;0",RD[[#This Row],[IS1POA_BS1 (KWh/m2)]:[IS7POA_BS2 (KWh/m2)]]),"")</f>
        <v>0.77825446666666664</v>
      </c>
      <c r="DA11" s="193">
        <f>IFERROR(AVERAGEIF(RD[[#This Row],[IS1GHI_BS1 (KWh/m2)]:[IS1GHI_BS1 (KWh/m2)2]],"&lt;&gt;0",RD[[#This Row],[IS1GHI_BS1 (KWh/m2)]:[IS1GHI_BS1 (KWh/m2)2]]),"")</f>
        <v>1.1981101500000002</v>
      </c>
      <c r="DB11" s="193">
        <f>IFERROR(AVERAGEIF(RD[[#This Row],[IS1AT1 (°C)]:[IS7AT2 (°C)]],"&lt;&gt;0",RD[[#This Row],[IS1AT1 (°C)]:[IS7AT2 (°C)]]),"")</f>
        <v>28.981240174672486</v>
      </c>
      <c r="DC11" s="193">
        <f>IFERROR(AVERAGEIF(RD[[#This Row],[IS1MT1 (°C)]:[IS7MT2 (°C)]],"&lt;&gt;0",RD[[#This Row],[IS1MT1 (°C)]:[IS7MT2 (°C)]]),"")</f>
        <v>37.302214847161579</v>
      </c>
      <c r="DD11" s="193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193">
        <f>IFERROR(AVERAGEIF(RD[[#This Row],[WS_Solar1_Avg (m/s)]:[IS7_WS_Solar1_Avg (m/s)]],"&lt;&gt;0",RD[[#This Row],[WS_Solar1_Avg (m/s)]:[IS7_WS_Solar1_Avg (m/s)]]),"")</f>
        <v>0.73128471615720525</v>
      </c>
      <c r="DG11" s="193">
        <f>IFERROR(AVERAGEIF(RD[[#This Row],[WS_Solar1_Max (m/s)]:[IS7_WS_Solar1_Max (m/s)]],"&lt;&gt;0",RD[[#This Row],[WS_Solar1_Max (m/s)]:[IS7_WS_Solar1_Max (m/s)]]),"")</f>
        <v>2.9550000000000001</v>
      </c>
      <c r="DH11" s="193">
        <f>SUM(RD[[#This Row],[IS1Inv1M1]:[IS4Inv4M2]])</f>
        <v>283197.8</v>
      </c>
      <c r="DI11" s="194">
        <f>SUM(RD[[#This Row],[IS7Inv1M1]]+RD[[#This Row],[IS7Inv2M1]])</f>
        <v>16876.400000000001</v>
      </c>
      <c r="DJ11" s="193">
        <f>SUM(RD[[#This Row],[IS5Inv1M1]:[IS5Inv2M2]])</f>
        <v>41030.699999999997</v>
      </c>
      <c r="DK11" s="193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75">
        <f>SUM(RD[[#This Row],[IS12Inv1M1]:[IS12Inv1M4]])</f>
        <v>16894</v>
      </c>
      <c r="DO11" s="275">
        <f>SUM(RD[[#This Row],[IS13Inv1M1]:[IS13Inv2M2]])</f>
        <v>1514.8</v>
      </c>
      <c r="DP11" s="193">
        <f>SUM(RD[[#This Row],[O2R15]:[O2R26]])</f>
        <v>581403.70000000007</v>
      </c>
      <c r="DQ11" s="162">
        <v>35045.1</v>
      </c>
      <c r="DR11" s="162">
        <v>196.9</v>
      </c>
      <c r="DS11" s="158">
        <v>29939.9</v>
      </c>
      <c r="DT11" s="162">
        <v>210.1</v>
      </c>
      <c r="DU11" s="162">
        <v>34125.4</v>
      </c>
      <c r="DV11" s="162">
        <v>376.6</v>
      </c>
      <c r="DW11" s="162">
        <v>3095.4</v>
      </c>
      <c r="DX11" s="162">
        <v>13.7</v>
      </c>
      <c r="DY11" s="162"/>
      <c r="DZ11" s="162"/>
      <c r="EA11" s="134">
        <v>84.06</v>
      </c>
      <c r="EB11" s="235">
        <v>102990856</v>
      </c>
      <c r="EC11" s="229">
        <v>844410.56</v>
      </c>
      <c r="ED11" s="235">
        <v>1007</v>
      </c>
      <c r="EE11" s="235">
        <v>97383</v>
      </c>
      <c r="EF11" s="158">
        <v>142895.70000000001</v>
      </c>
      <c r="EG11" s="158">
        <v>1673.5</v>
      </c>
      <c r="EH11" s="140">
        <f>IF((RD[[#This Row],[33 kV_F3_Ex
Incomer1]]-DQ10)*1000&lt;0,0,(RD[[#This Row],[33 kV_F3_Ex
Incomer1]]-DQ10)*1000)</f>
        <v>142599.99999999854</v>
      </c>
      <c r="EI11" s="140">
        <f>IF((RD[[#This Row],[34 kV_F3_Im
Incomer1]]-DR10)*1000&lt;0,0,(RD[[#This Row],[34 kV_F3_Im
Incomer1]]-DR10)*1000)</f>
        <v>400.00000000000568</v>
      </c>
      <c r="EJ11" s="140">
        <f>IF((RD[[#This Row],[33 kV_F4_Ex
Incomer2]]-DS10)*1000&lt;0,0,(RD[[#This Row],[33 kV_F4_Ex
Incomer2]]-DS10)*1000)</f>
        <v>135300.00000000291</v>
      </c>
      <c r="EK11" s="140">
        <f>IF((RD[[#This Row],[34 kV_F4_Im
Incomer2]]-DT10)*1000&lt;0,0,(RD[[#This Row],[34 kV_F4_Im
Incomer2]]-DT10)*1000)</f>
        <v>400.00000000000568</v>
      </c>
      <c r="EL11" s="140">
        <f>IF((RD[[#This Row],[33 kV_F5_Ex
Incomer3]]-DU10)*1000&lt;0,0,(RD[[#This Row],[33 kV_F5_Ex
Incomer3]]-DU10)*1000)</f>
        <v>175900.00000000146</v>
      </c>
      <c r="EM11" s="140">
        <f>IF((RD[[#This Row],[34 kV_F5_Im
Incomer3]]-DV10)*1000&lt;0,0,(RD[[#This Row],[34 kV_F5_Im
Incomer3]]-DV10)*1000)</f>
        <v>700.00000000004547</v>
      </c>
      <c r="EN11" s="140">
        <f>IF((RD[[#This Row],[33 kV_F6_Ex
Incomer4]]-DW10)*1000&lt;0,0,(RD[[#This Row],[33 kV_F6_Ex
Incomer4]]-DW10)*1000)</f>
        <v>118200.00000000028</v>
      </c>
      <c r="EO11" s="140">
        <f>IF((RD[[#This Row],[33 kV_F6_Im
Incomer4]]-DX10)*1000&lt;0,0,(RD[[#This Row],[33 kV_F6_Im
Incomer4]]-DX10)*1000)</f>
        <v>500</v>
      </c>
      <c r="EP11" s="140">
        <f>IF((RD[[#This Row],[33 kV_F7_Ex
Incomer5]]-DY10)*1000&lt;0,0,(RD[[#This Row],[33 kV_F7_Ex
Incomer5]]-DY10)*1000)</f>
        <v>0</v>
      </c>
      <c r="EQ11" s="140">
        <f>IF((RD[[#This Row],[33 kV_F7_Im
Incomer5]]-DZ10)*1000&lt;0,0,(RD[[#This Row],[33 kV_F7_Im
Incomer5]]-DZ10)*1000)</f>
        <v>0</v>
      </c>
      <c r="ER11" s="140">
        <f>IF((RD[[#This Row],[33 kV_Aux Trafo]]-EA10)*1000&lt;0,0,(RD[[#This Row],[33 kV_Aux Trafo]]-EA10)*1000)</f>
        <v>260.00000000000512</v>
      </c>
      <c r="ES11" s="152">
        <f>IF((RD[[#This Row],[33kV_OG1_Ex_]]-EB10)*1&lt;0,0,(RD[[#This Row],[33kV_OG1_Ex_]]-EB10)*1)</f>
        <v>572515</v>
      </c>
      <c r="ET11" s="140">
        <f>IF((RD[[#This Row],[33kV_OG1_Im]]-EC10)*1&lt;0,0,(RD[[#This Row],[33kV_OG1_Im]]-EC10)*1)</f>
        <v>2079.1040000000503</v>
      </c>
      <c r="EU11" s="140">
        <f>IF((RD[[#This Row],[132kV_TX1_EX]]-ED10)*720&lt;=0,"",(RD[[#This Row],[132kV_TX1_EX]]-ED10)*720)</f>
        <v>2160</v>
      </c>
      <c r="EV11" s="140">
        <f>IF((RD[[#This Row],[132 kV_Tx1_Im]]-EE10)*720&lt;=0,0,(RD[[#This Row],[132 kV_Tx1_Im]]-EE10)*720)</f>
        <v>411120</v>
      </c>
      <c r="EW11" s="140">
        <f>IF((RD[[#This Row],[132kV_L1_Ex]]-EF10)*720&lt;=0,0,(RD[[#This Row],[132kV_L1_Ex]]-EF10)*720)</f>
        <v>570456.00000001257</v>
      </c>
      <c r="EX11" s="140">
        <f>IF((RD[[#This Row],[132kV_L1_Im]]-EG10)*720&lt;=0,0,(RD[[#This Row],[132kV_L1_Im]]-EG10)*720)</f>
        <v>2664.0000000000327</v>
      </c>
      <c r="EY11" s="231">
        <f>IFERROR(RD[[#This Row],[33kV_OG1_Ex (MWh)]]+RD[[#This Row],[33kV_OG1_Im (MWh)]],"")</f>
        <v>574594.10400000005</v>
      </c>
      <c r="EZ11" s="142">
        <f>RD[[#This Row],[33kV_OG1_Ex (MWh)]]-RD[[#This Row],[33kV_OG1_Im (MWh)]]</f>
        <v>570435.89599999995</v>
      </c>
      <c r="FA11" s="142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32">
        <f>IFERROR((RD[[#This Row],[Sunset Time (POA&lt;20 W/m2)]]-RD[[#This Row],[Sunrise Time (POA&gt;20 W/m2)]])*24,0)</f>
        <v>11.9</v>
      </c>
      <c r="FD11" s="233">
        <v>100</v>
      </c>
      <c r="FE11" t="s">
        <v>265</v>
      </c>
      <c r="FF11"/>
      <c r="FG11"/>
    </row>
    <row r="12" spans="1:163">
      <c r="A12" s="130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46">
        <v>0.27152777777777776</v>
      </c>
      <c r="G12" s="156">
        <v>0.7631944444444444</v>
      </c>
      <c r="H12" s="121">
        <v>8957.4</v>
      </c>
      <c r="I12" s="121">
        <v>8930.7999999999993</v>
      </c>
      <c r="J12" s="121">
        <v>8552</v>
      </c>
      <c r="K12" s="121">
        <v>8605.7000000000007</v>
      </c>
      <c r="L12" s="121">
        <v>8801.1</v>
      </c>
      <c r="M12" s="121">
        <v>8868.6</v>
      </c>
      <c r="N12" s="121">
        <v>8575.7999999999993</v>
      </c>
      <c r="O12" s="121">
        <v>9289.7000000000007</v>
      </c>
      <c r="P12" s="121">
        <v>8687.6</v>
      </c>
      <c r="Q12" s="121">
        <v>8623.4</v>
      </c>
      <c r="R12" s="121">
        <v>8867.2999999999993</v>
      </c>
      <c r="S12" s="121">
        <v>8843.7999999999993</v>
      </c>
      <c r="T12" s="121">
        <v>9000.9</v>
      </c>
      <c r="U12" s="121">
        <v>8861.7999999999993</v>
      </c>
      <c r="V12" s="121">
        <v>8946.7999999999993</v>
      </c>
      <c r="W12" s="121">
        <v>8727.2999999999993</v>
      </c>
      <c r="X12" s="192">
        <v>12361.2</v>
      </c>
      <c r="Y12" s="192">
        <v>13529.4</v>
      </c>
      <c r="Z12" s="192">
        <v>12158.5</v>
      </c>
      <c r="AA12" s="192">
        <v>12712.4</v>
      </c>
      <c r="AB12" s="192">
        <v>13344.1</v>
      </c>
      <c r="AC12" s="192">
        <v>8201.1</v>
      </c>
      <c r="AD12" s="192">
        <v>12600.7</v>
      </c>
      <c r="AE12" s="192">
        <v>12888.3</v>
      </c>
      <c r="AF12" s="192">
        <v>12271</v>
      </c>
      <c r="AG12" s="192">
        <v>12500.3</v>
      </c>
      <c r="AH12" s="192">
        <v>12565.3</v>
      </c>
      <c r="AI12" s="192">
        <v>12595.7</v>
      </c>
      <c r="AJ12" s="136">
        <v>10417.4</v>
      </c>
      <c r="AK12" s="136">
        <v>10722.5</v>
      </c>
      <c r="AL12" s="136">
        <v>10438.9</v>
      </c>
      <c r="AM12" s="136">
        <v>10586.2</v>
      </c>
      <c r="AN12" s="136">
        <v>10522.2</v>
      </c>
      <c r="AO12" s="136">
        <v>10912.7</v>
      </c>
      <c r="AP12" s="136">
        <v>10701.7</v>
      </c>
      <c r="AQ12" s="136">
        <v>10544.9</v>
      </c>
      <c r="AR12" s="136">
        <v>8609.9</v>
      </c>
      <c r="AS12" s="136">
        <v>8655.9</v>
      </c>
      <c r="AT12" s="136">
        <v>8668.2999999999993</v>
      </c>
      <c r="AU12" s="136">
        <v>8691.2000000000007</v>
      </c>
      <c r="AV12" s="136">
        <v>8855.2000000000007</v>
      </c>
      <c r="AW12" s="136">
        <v>8717.7000000000007</v>
      </c>
      <c r="AX12" s="136">
        <v>12223.7</v>
      </c>
      <c r="AY12" s="136">
        <v>13261.4</v>
      </c>
      <c r="AZ12" s="136">
        <v>8481.4</v>
      </c>
      <c r="BA12" s="136">
        <v>11906.7</v>
      </c>
      <c r="BB12" s="136">
        <v>11811.3</v>
      </c>
      <c r="BC12" s="136">
        <v>9089.9</v>
      </c>
      <c r="BD12" s="136">
        <v>9636.9</v>
      </c>
      <c r="BE12" s="136">
        <v>11844.8</v>
      </c>
      <c r="BF12" s="136">
        <v>9766.7000000000007</v>
      </c>
      <c r="BG12" s="136">
        <v>11489.5</v>
      </c>
      <c r="BH12" s="136">
        <v>6805.8</v>
      </c>
      <c r="BI12" s="136">
        <v>3486.8</v>
      </c>
      <c r="BJ12" s="136">
        <v>3033.1</v>
      </c>
      <c r="BK12" s="136">
        <v>1168.0999999999999</v>
      </c>
      <c r="BL12" s="136">
        <v>7276.4</v>
      </c>
      <c r="BM12" s="136">
        <v>7440.1</v>
      </c>
      <c r="BN12" s="136">
        <v>6951</v>
      </c>
      <c r="BO12" s="136">
        <v>3648</v>
      </c>
      <c r="BP12" s="136">
        <v>4383</v>
      </c>
      <c r="BQ12" s="136">
        <v>3495</v>
      </c>
      <c r="BR12" s="136">
        <v>0</v>
      </c>
      <c r="BS12" s="136">
        <v>0</v>
      </c>
      <c r="BT12" s="136">
        <v>876</v>
      </c>
      <c r="BU12" s="136">
        <v>678</v>
      </c>
      <c r="BV12" s="136"/>
      <c r="BW12" s="136"/>
      <c r="BX12" s="136"/>
      <c r="BY12" s="136"/>
      <c r="BZ12" s="136">
        <v>1343</v>
      </c>
      <c r="CA12" s="136">
        <v>1154</v>
      </c>
      <c r="CB12" s="136">
        <v>4879</v>
      </c>
      <c r="CC12" s="136">
        <v>4732</v>
      </c>
      <c r="CD12" s="59">
        <v>7.0237711999999988</v>
      </c>
      <c r="CE12" s="59"/>
      <c r="CF12" s="195">
        <v>6.9011737333333381</v>
      </c>
      <c r="CG12" s="195"/>
      <c r="CH12" s="195">
        <v>0.83065995000000026</v>
      </c>
      <c r="CI12" s="195"/>
      <c r="CJ12" s="59">
        <v>1.2698613999999997</v>
      </c>
      <c r="CK12" s="59"/>
      <c r="CL12" s="195">
        <v>30.65649837133547</v>
      </c>
      <c r="CM12" s="195"/>
      <c r="CN12" s="195">
        <v>38.092573289902283</v>
      </c>
      <c r="CO12" s="195"/>
      <c r="CP12" s="195">
        <v>33.925716612377805</v>
      </c>
      <c r="CQ12" s="195"/>
      <c r="CR12" s="59">
        <v>0</v>
      </c>
      <c r="CS12" s="59"/>
      <c r="CT12" s="195">
        <v>0.82883061889250742</v>
      </c>
      <c r="CU12" s="195"/>
      <c r="CV12" s="195">
        <v>2.9670000000000001</v>
      </c>
      <c r="CW12" s="247"/>
      <c r="CX12" s="193">
        <f>IFERROR(AVERAGEIF(RD[[#This Row],[IS1POA1 (KWh/m2)]:[IS7POA2 (KWh/m2)]],"&lt;&gt;0",RD[[#This Row],[IS1POA1 (KWh/m2)]:[IS7POA2 (KWh/m2)]]),"")</f>
        <v>7.0237711999999988</v>
      </c>
      <c r="CY12" s="193">
        <f>IFERROR(AVERAGEIF(RD[[#This Row],[IS1GHI1 (KWh/m2)]:[IS7GHI2 (KWh/m2)]],"&lt;&gt;0",RD[[#This Row],[IS1GHI1 (KWh/m2)]:[IS7GHI2 (KWh/m2)]]),"")</f>
        <v>6.9011737333333381</v>
      </c>
      <c r="CZ12" s="193">
        <f>IFERROR(AVERAGEIF(RD[[#This Row],[IS1POA_BS1 (KWh/m2)]:[IS7POA_BS2 (KWh/m2)]],"&lt;&gt;0",RD[[#This Row],[IS1POA_BS1 (KWh/m2)]:[IS7POA_BS2 (KWh/m2)]]),"")</f>
        <v>0.83065995000000026</v>
      </c>
      <c r="DA12" s="193">
        <f>IFERROR(AVERAGEIF(RD[[#This Row],[IS1GHI_BS1 (KWh/m2)]:[IS1GHI_BS1 (KWh/m2)2]],"&lt;&gt;0",RD[[#This Row],[IS1GHI_BS1 (KWh/m2)]:[IS1GHI_BS1 (KWh/m2)2]]),"")</f>
        <v>1.2698613999999997</v>
      </c>
      <c r="DB12" s="193">
        <f>IFERROR(AVERAGEIF(RD[[#This Row],[IS1AT1 (°C)]:[IS7AT2 (°C)]],"&lt;&gt;0",RD[[#This Row],[IS1AT1 (°C)]:[IS7AT2 (°C)]]),"")</f>
        <v>30.65649837133547</v>
      </c>
      <c r="DC12" s="193">
        <f>IFERROR(AVERAGEIF(RD[[#This Row],[IS1MT1 (°C)]:[IS7MT2 (°C)]],"&lt;&gt;0",RD[[#This Row],[IS1MT1 (°C)]:[IS7MT2 (°C)]]),"")</f>
        <v>38.092573289902283</v>
      </c>
      <c r="DD12" s="193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193">
        <f>IFERROR(AVERAGEIF(RD[[#This Row],[WS_Solar1_Avg (m/s)]:[IS7_WS_Solar1_Avg (m/s)]],"&lt;&gt;0",RD[[#This Row],[WS_Solar1_Avg (m/s)]:[IS7_WS_Solar1_Avg (m/s)]]),"")</f>
        <v>0.82883061889250742</v>
      </c>
      <c r="DG12" s="193">
        <f>IFERROR(AVERAGEIF(RD[[#This Row],[WS_Solar1_Max (m/s)]:[IS7_WS_Solar1_Max (m/s)]],"&lt;&gt;0",RD[[#This Row],[WS_Solar1_Max (m/s)]:[IS7_WS_Solar1_Max (m/s)]]),"")</f>
        <v>2.9670000000000001</v>
      </c>
      <c r="DH12" s="193">
        <f>SUM(RD[[#This Row],[IS1Inv1M1]:[IS4Inv4M2]])</f>
        <v>288868</v>
      </c>
      <c r="DI12" s="194">
        <f>SUM(RD[[#This Row],[IS7Inv1M1]]+RD[[#This Row],[IS7Inv2M1]])</f>
        <v>17265.8</v>
      </c>
      <c r="DJ12" s="193">
        <f>SUM(RD[[#This Row],[IS5Inv1M1]:[IS5Inv2M2]])</f>
        <v>42165</v>
      </c>
      <c r="DK12" s="193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75">
        <f>SUM(RD[[#This Row],[IS12Inv1M1]:[IS12Inv1M4]])</f>
        <v>18477</v>
      </c>
      <c r="DO12" s="275">
        <f>SUM(RD[[#This Row],[IS13Inv1M1]:[IS13Inv2M2]])</f>
        <v>1554</v>
      </c>
      <c r="DP12" s="193">
        <f>SUM(RD[[#This Row],[O2R15]:[O2R26]])</f>
        <v>596774.30000000005</v>
      </c>
      <c r="DQ12" s="158">
        <v>35191.699999999997</v>
      </c>
      <c r="DR12" s="162">
        <v>197.3</v>
      </c>
      <c r="DS12" s="158">
        <v>30076.6</v>
      </c>
      <c r="DT12" s="158">
        <v>210.4</v>
      </c>
      <c r="DU12" s="162">
        <v>34305.4</v>
      </c>
      <c r="DV12" s="162">
        <v>377.2</v>
      </c>
      <c r="DW12" s="158">
        <v>3219</v>
      </c>
      <c r="DX12" s="162">
        <v>14.1</v>
      </c>
      <c r="DY12" s="162"/>
      <c r="DZ12" s="162"/>
      <c r="EA12" s="134">
        <v>84.34</v>
      </c>
      <c r="EB12" s="230">
        <v>103578411</v>
      </c>
      <c r="EC12" s="229">
        <v>846357.63199999998</v>
      </c>
      <c r="ED12" s="230">
        <v>1009</v>
      </c>
      <c r="EE12" s="230">
        <v>97968</v>
      </c>
      <c r="EF12" s="158">
        <v>143708.79999999999</v>
      </c>
      <c r="EG12" s="158">
        <v>1677</v>
      </c>
      <c r="EH12" s="140">
        <f>IF((RD[[#This Row],[33 kV_F3_Ex
Incomer1]]-DQ11)*1000&lt;0,0,(RD[[#This Row],[33 kV_F3_Ex
Incomer1]]-DQ11)*1000)</f>
        <v>146599.99999999854</v>
      </c>
      <c r="EI12" s="140">
        <f>IF((RD[[#This Row],[34 kV_F3_Im
Incomer1]]-DR11)*1000&lt;0,0,(RD[[#This Row],[34 kV_F3_Im
Incomer1]]-DR11)*1000)</f>
        <v>400.00000000000568</v>
      </c>
      <c r="EJ12" s="140">
        <f>IF((RD[[#This Row],[33 kV_F4_Ex
Incomer2]]-DS11)*1000&lt;0,0,(RD[[#This Row],[33 kV_F4_Ex
Incomer2]]-DS11)*1000)</f>
        <v>136699.99999999709</v>
      </c>
      <c r="EK12" s="140">
        <f>IF((RD[[#This Row],[34 kV_F4_Im
Incomer2]]-DT11)*1000&lt;0,0,(RD[[#This Row],[34 kV_F4_Im
Incomer2]]-DT11)*1000)</f>
        <v>300.00000000001137</v>
      </c>
      <c r="EL12" s="140">
        <f>IF((RD[[#This Row],[33 kV_F5_Ex
Incomer3]]-DU11)*1000&lt;0,0,(RD[[#This Row],[33 kV_F5_Ex
Incomer3]]-DU11)*1000)</f>
        <v>180000</v>
      </c>
      <c r="EM12" s="140">
        <f>IF((RD[[#This Row],[34 kV_F5_Im
Incomer3]]-DV11)*1000&lt;0,0,(RD[[#This Row],[34 kV_F5_Im
Incomer3]]-DV11)*1000)</f>
        <v>599.99999999996589</v>
      </c>
      <c r="EN12" s="140">
        <f>IF((RD[[#This Row],[33 kV_F6_Ex
Incomer4]]-DW11)*1000&lt;0,0,(RD[[#This Row],[33 kV_F6_Ex
Incomer4]]-DW11)*1000)</f>
        <v>123599.99999999991</v>
      </c>
      <c r="EO12" s="140">
        <f>IF((RD[[#This Row],[33 kV_F6_Im
Incomer4]]-DX11)*1000&lt;0,0,(RD[[#This Row],[33 kV_F6_Im
Incomer4]]-DX11)*1000)</f>
        <v>400.00000000000034</v>
      </c>
      <c r="EP12" s="140">
        <f>IF((RD[[#This Row],[33 kV_F7_Ex
Incomer5]]-DY11)*1000&lt;0,0,(RD[[#This Row],[33 kV_F7_Ex
Incomer5]]-DY11)*1000)</f>
        <v>0</v>
      </c>
      <c r="EQ12" s="140">
        <f>IF((RD[[#This Row],[33 kV_F7_Im
Incomer5]]-DZ11)*1000&lt;0,0,(RD[[#This Row],[33 kV_F7_Im
Incomer5]]-DZ11)*1000)</f>
        <v>0</v>
      </c>
      <c r="ER12" s="140">
        <f>IF((RD[[#This Row],[33 kV_Aux Trafo]]-EA11)*1000&lt;0,0,(RD[[#This Row],[33 kV_Aux Trafo]]-EA11)*1000)</f>
        <v>280.00000000000114</v>
      </c>
      <c r="ES12" s="152">
        <f>IF((RD[[#This Row],[33kV_OG1_Ex_]]-EB11)*1&lt;0,0,(RD[[#This Row],[33kV_OG1_Ex_]]-EB11)*1)</f>
        <v>587555</v>
      </c>
      <c r="ET12" s="140">
        <f>IF((RD[[#This Row],[33kV_OG1_Im]]-EC11)*1&lt;0,0,(RD[[#This Row],[33kV_OG1_Im]]-EC11)*1)</f>
        <v>1947.0719999999274</v>
      </c>
      <c r="EU12" s="140">
        <f>IF((RD[[#This Row],[132kV_TX1_EX]]-ED11)*720&lt;=0,"",(RD[[#This Row],[132kV_TX1_EX]]-ED11)*720)</f>
        <v>1440</v>
      </c>
      <c r="EV12" s="140">
        <f>IF((RD[[#This Row],[132 kV_Tx1_Im]]-EE11)*720&lt;=0,0,(RD[[#This Row],[132 kV_Tx1_Im]]-EE11)*720)</f>
        <v>421200</v>
      </c>
      <c r="EW12" s="140">
        <f>IF((RD[[#This Row],[132kV_L1_Ex]]-EF11)*720&lt;=0,0,(RD[[#This Row],[132kV_L1_Ex]]-EF11)*720)</f>
        <v>585431.99999998324</v>
      </c>
      <c r="EX12" s="140">
        <f>IF((RD[[#This Row],[132kV_L1_Im]]-EG11)*720&lt;=0,0,(RD[[#This Row],[132kV_L1_Im]]-EG11)*720)</f>
        <v>2520</v>
      </c>
      <c r="EY12" s="231">
        <f>IFERROR(RD[[#This Row],[33kV_OG1_Ex (MWh)]]+RD[[#This Row],[33kV_OG1_Im (MWh)]],"")</f>
        <v>589502.07199999993</v>
      </c>
      <c r="EZ12" s="142">
        <f>RD[[#This Row],[33kV_OG1_Ex (MWh)]]-RD[[#This Row],[33kV_OG1_Im (MWh)]]</f>
        <v>585607.92800000007</v>
      </c>
      <c r="FA12" s="142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32">
        <f>IFERROR((RD[[#This Row],[Sunset Time (POA&lt;20 W/m2)]]-RD[[#This Row],[Sunrise Time (POA&gt;20 W/m2)]])*24,0)</f>
        <v>11.799999999999999</v>
      </c>
      <c r="FD12" s="233">
        <v>102</v>
      </c>
      <c r="FE12" t="s">
        <v>265</v>
      </c>
      <c r="FF12"/>
      <c r="FG12"/>
    </row>
    <row r="13" spans="1:163">
      <c r="A13" s="130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46">
        <v>0.27152777777777776</v>
      </c>
      <c r="G13" s="156">
        <v>0.76249999999999996</v>
      </c>
      <c r="H13" s="121">
        <v>9034.7000000000007</v>
      </c>
      <c r="I13" s="121">
        <v>9022</v>
      </c>
      <c r="J13" s="121">
        <v>8668.9</v>
      </c>
      <c r="K13" s="121">
        <v>8730.1</v>
      </c>
      <c r="L13" s="121">
        <v>8920.1</v>
      </c>
      <c r="M13" s="121">
        <v>8976.7000000000007</v>
      </c>
      <c r="N13" s="121">
        <v>8717.7999999999993</v>
      </c>
      <c r="O13" s="121">
        <v>9375.6</v>
      </c>
      <c r="P13" s="121">
        <v>8802</v>
      </c>
      <c r="Q13" s="121">
        <v>8738.4</v>
      </c>
      <c r="R13" s="121">
        <v>8973.6</v>
      </c>
      <c r="S13" s="121">
        <v>8951.2000000000007</v>
      </c>
      <c r="T13" s="121">
        <v>9113.7000000000007</v>
      </c>
      <c r="U13" s="121">
        <v>8970.7000000000007</v>
      </c>
      <c r="V13" s="121">
        <v>9053.9</v>
      </c>
      <c r="W13" s="121">
        <v>8867.5</v>
      </c>
      <c r="X13" s="192">
        <v>12619.4</v>
      </c>
      <c r="Y13" s="192">
        <v>13698.8</v>
      </c>
      <c r="Z13" s="192">
        <v>12442.5</v>
      </c>
      <c r="AA13" s="192">
        <v>12924.6</v>
      </c>
      <c r="AB13" s="192">
        <v>13541.8</v>
      </c>
      <c r="AC13" s="192">
        <v>8461.7000000000007</v>
      </c>
      <c r="AD13" s="192">
        <v>12863.6</v>
      </c>
      <c r="AE13" s="192">
        <v>13007.5</v>
      </c>
      <c r="AF13" s="192">
        <v>12530.8</v>
      </c>
      <c r="AG13" s="192">
        <v>12739</v>
      </c>
      <c r="AH13" s="192">
        <v>12769.1</v>
      </c>
      <c r="AI13" s="192">
        <v>12857.3</v>
      </c>
      <c r="AJ13" s="136">
        <v>10703.6</v>
      </c>
      <c r="AK13" s="136">
        <v>11018.8</v>
      </c>
      <c r="AL13" s="136">
        <v>10726.5</v>
      </c>
      <c r="AM13" s="136">
        <v>10872.8</v>
      </c>
      <c r="AN13" s="136">
        <v>10814.4</v>
      </c>
      <c r="AO13" s="136">
        <v>11216.2</v>
      </c>
      <c r="AP13" s="136">
        <v>10987.6</v>
      </c>
      <c r="AQ13" s="136">
        <v>10827</v>
      </c>
      <c r="AR13" s="136">
        <v>8772.1</v>
      </c>
      <c r="AS13" s="136">
        <v>8821.7999999999993</v>
      </c>
      <c r="AT13" s="136">
        <v>8841.9</v>
      </c>
      <c r="AU13" s="136">
        <v>8850.9</v>
      </c>
      <c r="AV13" s="136">
        <v>8993.5</v>
      </c>
      <c r="AW13" s="136">
        <v>8878.2999999999993</v>
      </c>
      <c r="AX13" s="136">
        <v>12531.3</v>
      </c>
      <c r="AY13" s="136">
        <v>13521.6</v>
      </c>
      <c r="AZ13" s="136">
        <v>8899.2000000000007</v>
      </c>
      <c r="BA13" s="136">
        <v>11300</v>
      </c>
      <c r="BB13" s="136">
        <v>12143.1</v>
      </c>
      <c r="BC13" s="136">
        <v>9369.9</v>
      </c>
      <c r="BD13" s="136">
        <v>9916.5</v>
      </c>
      <c r="BE13" s="136">
        <v>12152.6</v>
      </c>
      <c r="BF13" s="136">
        <v>9966.4</v>
      </c>
      <c r="BG13" s="136">
        <v>11716.5</v>
      </c>
      <c r="BH13" s="136">
        <v>6957.4</v>
      </c>
      <c r="BI13" s="136">
        <v>3693.1</v>
      </c>
      <c r="BJ13" s="136">
        <v>3681</v>
      </c>
      <c r="BK13" s="136">
        <v>1668.7</v>
      </c>
      <c r="BL13" s="136">
        <v>7499</v>
      </c>
      <c r="BM13" s="136">
        <v>7644</v>
      </c>
      <c r="BN13" s="136">
        <v>7084</v>
      </c>
      <c r="BO13" s="136">
        <v>4120</v>
      </c>
      <c r="BP13" s="136">
        <v>5899</v>
      </c>
      <c r="BQ13" s="136">
        <v>3709</v>
      </c>
      <c r="BR13" s="136">
        <v>0</v>
      </c>
      <c r="BS13" s="136">
        <v>0</v>
      </c>
      <c r="BT13" s="136">
        <v>903</v>
      </c>
      <c r="BU13" s="136">
        <v>685</v>
      </c>
      <c r="BV13" s="136"/>
      <c r="BW13" s="136"/>
      <c r="BX13" s="136"/>
      <c r="BY13" s="136"/>
      <c r="BZ13" s="136">
        <v>1394</v>
      </c>
      <c r="CA13" s="136">
        <v>1189</v>
      </c>
      <c r="CB13" s="136">
        <v>5120</v>
      </c>
      <c r="CC13" s="136">
        <v>5179</v>
      </c>
      <c r="CD13" s="59">
        <v>7.2617078499999996</v>
      </c>
      <c r="CE13" s="59"/>
      <c r="CF13" s="195">
        <v>7.1267072166666701</v>
      </c>
      <c r="CG13" s="195"/>
      <c r="CH13" s="195">
        <v>0.85638393333333385</v>
      </c>
      <c r="CI13" s="195"/>
      <c r="CJ13" s="59">
        <v>1.3176237000000013</v>
      </c>
      <c r="CK13" s="59"/>
      <c r="CL13" s="195">
        <v>32.570993031358924</v>
      </c>
      <c r="CM13" s="195"/>
      <c r="CN13" s="195">
        <v>39.887005226480888</v>
      </c>
      <c r="CO13" s="195"/>
      <c r="CP13" s="195">
        <v>22.446341463414647</v>
      </c>
      <c r="CQ13" s="195"/>
      <c r="CR13" s="59">
        <v>0</v>
      </c>
      <c r="CS13" s="59"/>
      <c r="CT13" s="195">
        <v>0.9254790940766543</v>
      </c>
      <c r="CU13" s="195"/>
      <c r="CV13" s="195">
        <v>2.496</v>
      </c>
      <c r="CW13" s="247"/>
      <c r="CX13" s="193">
        <f>IFERROR(AVERAGEIF(RD[[#This Row],[IS1POA1 (KWh/m2)]:[IS7POA2 (KWh/m2)]],"&lt;&gt;0",RD[[#This Row],[IS1POA1 (KWh/m2)]:[IS7POA2 (KWh/m2)]]),"")</f>
        <v>7.2617078499999996</v>
      </c>
      <c r="CY13" s="193">
        <f>IFERROR(AVERAGEIF(RD[[#This Row],[IS1GHI1 (KWh/m2)]:[IS7GHI2 (KWh/m2)]],"&lt;&gt;0",RD[[#This Row],[IS1GHI1 (KWh/m2)]:[IS7GHI2 (KWh/m2)]]),"")</f>
        <v>7.1267072166666701</v>
      </c>
      <c r="CZ13" s="193">
        <f>IFERROR(AVERAGEIF(RD[[#This Row],[IS1POA_BS1 (KWh/m2)]:[IS7POA_BS2 (KWh/m2)]],"&lt;&gt;0",RD[[#This Row],[IS1POA_BS1 (KWh/m2)]:[IS7POA_BS2 (KWh/m2)]]),"")</f>
        <v>0.85638393333333385</v>
      </c>
      <c r="DA13" s="193">
        <f>IFERROR(AVERAGEIF(RD[[#This Row],[IS1GHI_BS1 (KWh/m2)]:[IS1GHI_BS1 (KWh/m2)2]],"&lt;&gt;0",RD[[#This Row],[IS1GHI_BS1 (KWh/m2)]:[IS1GHI_BS1 (KWh/m2)2]]),"")</f>
        <v>1.3176237000000013</v>
      </c>
      <c r="DB13" s="193">
        <f>IFERROR(AVERAGEIF(RD[[#This Row],[IS1AT1 (°C)]:[IS7AT2 (°C)]],"&lt;&gt;0",RD[[#This Row],[IS1AT1 (°C)]:[IS7AT2 (°C)]]),"")</f>
        <v>32.570993031358924</v>
      </c>
      <c r="DC13" s="193">
        <f>IFERROR(AVERAGEIF(RD[[#This Row],[IS1MT1 (°C)]:[IS7MT2 (°C)]],"&lt;&gt;0",RD[[#This Row],[IS1MT1 (°C)]:[IS7MT2 (°C)]]),"")</f>
        <v>39.887005226480888</v>
      </c>
      <c r="DD13" s="193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193">
        <f>IFERROR(AVERAGEIF(RD[[#This Row],[WS_Solar1_Avg (m/s)]:[IS7_WS_Solar1_Avg (m/s)]],"&lt;&gt;0",RD[[#This Row],[WS_Solar1_Avg (m/s)]:[IS7_WS_Solar1_Avg (m/s)]]),"")</f>
        <v>0.9254790940766543</v>
      </c>
      <c r="DG13" s="193">
        <f>IFERROR(AVERAGEIF(RD[[#This Row],[WS_Solar1_Max (m/s)]:[IS7_WS_Solar1_Max (m/s)]],"&lt;&gt;0",RD[[#This Row],[WS_Solar1_Max (m/s)]:[IS7_WS_Solar1_Max (m/s)]]),"")</f>
        <v>2.496</v>
      </c>
      <c r="DH13" s="193">
        <f>SUM(RD[[#This Row],[IS1Inv1M1]:[IS4Inv4M2]])</f>
        <v>293372.99999999994</v>
      </c>
      <c r="DI13" s="194">
        <f>SUM(RD[[#This Row],[IS7Inv1M1]]+RD[[#This Row],[IS7Inv2M1]])</f>
        <v>17593.900000000001</v>
      </c>
      <c r="DJ13" s="193">
        <f>SUM(RD[[#This Row],[IS5Inv1M1]:[IS5Inv2M2]])</f>
        <v>43321.7</v>
      </c>
      <c r="DK13" s="193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75">
        <f>SUM(RD[[#This Row],[IS12Inv1M1]:[IS12Inv1M4]])</f>
        <v>20812</v>
      </c>
      <c r="DO13" s="275">
        <f>SUM(RD[[#This Row],[IS13Inv1M1]:[IS13Inv2M2]])</f>
        <v>1588</v>
      </c>
      <c r="DP13" s="193">
        <f>SUM(RD[[#This Row],[O2R15]:[O2R26]])</f>
        <v>611640.69999999995</v>
      </c>
      <c r="DQ13" s="158">
        <v>35340.9</v>
      </c>
      <c r="DR13" s="162">
        <v>197.7</v>
      </c>
      <c r="DS13" s="158">
        <v>30214.400000000001</v>
      </c>
      <c r="DT13" s="158">
        <v>210.7</v>
      </c>
      <c r="DU13" s="162">
        <v>34490.6</v>
      </c>
      <c r="DV13" s="162">
        <v>377.8</v>
      </c>
      <c r="DW13" s="158">
        <v>3348.5</v>
      </c>
      <c r="DX13" s="162">
        <v>14.4</v>
      </c>
      <c r="DY13" s="162"/>
      <c r="DZ13" s="162"/>
      <c r="EA13" s="134">
        <v>84.6</v>
      </c>
      <c r="EB13" s="230">
        <v>104181514</v>
      </c>
      <c r="EC13" s="229">
        <v>848075.90599999996</v>
      </c>
      <c r="ED13" s="230">
        <v>1011</v>
      </c>
      <c r="EE13" s="230">
        <v>98568</v>
      </c>
      <c r="EF13" s="158">
        <v>144543.70000000001</v>
      </c>
      <c r="EG13" s="158">
        <v>1680</v>
      </c>
      <c r="EH13" s="140">
        <f>IF((RD[[#This Row],[33 kV_F3_Ex
Incomer1]]-DQ12)*1000&lt;0,0,(RD[[#This Row],[33 kV_F3_Ex
Incomer1]]-DQ12)*1000)</f>
        <v>149200.00000000437</v>
      </c>
      <c r="EI13" s="140">
        <f>IF((RD[[#This Row],[34 kV_F3_Im
Incomer1]]-DR12)*1000&lt;0,0,(RD[[#This Row],[34 kV_F3_Im
Incomer1]]-DR12)*1000)</f>
        <v>399.99999999997726</v>
      </c>
      <c r="EJ13" s="140">
        <f>IF((RD[[#This Row],[33 kV_F4_Ex
Incomer2]]-DS12)*1000&lt;0,0,(RD[[#This Row],[33 kV_F4_Ex
Incomer2]]-DS12)*1000)</f>
        <v>137800.00000000291</v>
      </c>
      <c r="EK13" s="140">
        <f>IF((RD[[#This Row],[34 kV_F4_Im
Incomer2]]-DT12)*1000&lt;0,0,(RD[[#This Row],[34 kV_F4_Im
Incomer2]]-DT12)*1000)</f>
        <v>299.99999999998295</v>
      </c>
      <c r="EL13" s="140">
        <f>IF((RD[[#This Row],[33 kV_F5_Ex
Incomer3]]-DU12)*1000&lt;0,0,(RD[[#This Row],[33 kV_F5_Ex
Incomer3]]-DU12)*1000)</f>
        <v>185199.99999999709</v>
      </c>
      <c r="EM13" s="140">
        <f>IF((RD[[#This Row],[34 kV_F5_Im
Incomer3]]-DV12)*1000&lt;0,0,(RD[[#This Row],[34 kV_F5_Im
Incomer3]]-DV12)*1000)</f>
        <v>600.00000000002274</v>
      </c>
      <c r="EN13" s="140">
        <f>IF((RD[[#This Row],[33 kV_F6_Ex
Incomer4]]-DW12)*1000&lt;0,0,(RD[[#This Row],[33 kV_F6_Ex
Incomer4]]-DW12)*1000)</f>
        <v>129500</v>
      </c>
      <c r="EO13" s="140">
        <f>IF((RD[[#This Row],[33 kV_F6_Im
Incomer4]]-DX12)*1000&lt;0,0,(RD[[#This Row],[33 kV_F6_Im
Incomer4]]-DX12)*1000)</f>
        <v>300.00000000000068</v>
      </c>
      <c r="EP13" s="140">
        <f>IF((RD[[#This Row],[33 kV_F7_Ex
Incomer5]]-DY12)*1000&lt;0,0,(RD[[#This Row],[33 kV_F7_Ex
Incomer5]]-DY12)*1000)</f>
        <v>0</v>
      </c>
      <c r="EQ13" s="140">
        <f>IF((RD[[#This Row],[33 kV_F7_Im
Incomer5]]-DZ12)*1000&lt;0,0,(RD[[#This Row],[33 kV_F7_Im
Incomer5]]-DZ12)*1000)</f>
        <v>0</v>
      </c>
      <c r="ER13" s="140">
        <f>IF((RD[[#This Row],[33 kV_Aux Trafo]]-EA12)*1000&lt;0,0,(RD[[#This Row],[33 kV_Aux Trafo]]-EA12)*1000)</f>
        <v>259.99999999999091</v>
      </c>
      <c r="ES13" s="152">
        <f>IF((RD[[#This Row],[33kV_OG1_Ex_]]-EB12)*1&lt;0,0,(RD[[#This Row],[33kV_OG1_Ex_]]-EB12)*1)</f>
        <v>603103</v>
      </c>
      <c r="ET13" s="140">
        <f>IF((RD[[#This Row],[33kV_OG1_Im]]-EC12)*1&lt;0,0,(RD[[#This Row],[33kV_OG1_Im]]-EC12)*1)</f>
        <v>1718.2739999999758</v>
      </c>
      <c r="EU13" s="140">
        <f>IF((RD[[#This Row],[132kV_TX1_EX]]-ED12)*720&lt;=0,"",(RD[[#This Row],[132kV_TX1_EX]]-ED12)*720)</f>
        <v>1440</v>
      </c>
      <c r="EV13" s="140">
        <f>IF((RD[[#This Row],[132 kV_Tx1_Im]]-EE12)*720&lt;=0,0,(RD[[#This Row],[132 kV_Tx1_Im]]-EE12)*720)</f>
        <v>432000</v>
      </c>
      <c r="EW13" s="140">
        <f>IF((RD[[#This Row],[132kV_L1_Ex]]-EF12)*720&lt;=0,0,(RD[[#This Row],[132kV_L1_Ex]]-EF12)*720)</f>
        <v>601128.00000001676</v>
      </c>
      <c r="EX13" s="140">
        <f>IF((RD[[#This Row],[132kV_L1_Im]]-EG12)*720&lt;=0,0,(RD[[#This Row],[132kV_L1_Im]]-EG12)*720)</f>
        <v>2160</v>
      </c>
      <c r="EY13" s="231">
        <f>IFERROR(RD[[#This Row],[33kV_OG1_Ex (MWh)]]+RD[[#This Row],[33kV_OG1_Im (MWh)]],"")</f>
        <v>604821.27399999998</v>
      </c>
      <c r="EZ13" s="142">
        <f>RD[[#This Row],[33kV_OG1_Ex (MWh)]]-RD[[#This Row],[33kV_OG1_Im (MWh)]]</f>
        <v>601384.72600000002</v>
      </c>
      <c r="FA13" s="142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32">
        <f>IFERROR((RD[[#This Row],[Sunset Time (POA&lt;20 W/m2)]]-RD[[#This Row],[Sunrise Time (POA&gt;20 W/m2)]])*24,0)</f>
        <v>11.783333333333333</v>
      </c>
      <c r="FD13" s="233">
        <v>102</v>
      </c>
      <c r="FE13" t="s">
        <v>265</v>
      </c>
      <c r="FF13"/>
      <c r="FG13"/>
    </row>
    <row r="14" spans="1:163">
      <c r="A14" s="130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46">
        <v>0.2902777777777778</v>
      </c>
      <c r="G14" s="156">
        <v>0.76388888888888884</v>
      </c>
      <c r="H14" s="121">
        <v>9028.4</v>
      </c>
      <c r="I14" s="121">
        <v>9020.1</v>
      </c>
      <c r="J14" s="121">
        <v>8664.7999999999993</v>
      </c>
      <c r="K14" s="121">
        <v>8729</v>
      </c>
      <c r="L14" s="121">
        <v>8915.4</v>
      </c>
      <c r="M14" s="121">
        <v>8995.5</v>
      </c>
      <c r="N14" s="121">
        <v>8717.5</v>
      </c>
      <c r="O14" s="121">
        <v>9369</v>
      </c>
      <c r="P14" s="121">
        <v>8814.7000000000007</v>
      </c>
      <c r="Q14" s="121">
        <v>8747.4</v>
      </c>
      <c r="R14" s="121">
        <v>8989.2999999999993</v>
      </c>
      <c r="S14" s="121">
        <v>8970.7999999999993</v>
      </c>
      <c r="T14" s="121">
        <v>9129.4</v>
      </c>
      <c r="U14" s="121">
        <v>8983.5</v>
      </c>
      <c r="V14" s="121">
        <v>9075.7999999999993</v>
      </c>
      <c r="W14" s="121">
        <v>8901.1</v>
      </c>
      <c r="X14" s="192">
        <v>12660.3</v>
      </c>
      <c r="Y14" s="192">
        <v>13738.7</v>
      </c>
      <c r="Z14" s="192">
        <v>12487.1</v>
      </c>
      <c r="AA14" s="192">
        <v>13149.6</v>
      </c>
      <c r="AB14" s="192">
        <v>13533.4</v>
      </c>
      <c r="AC14" s="192">
        <v>8453.2000000000007</v>
      </c>
      <c r="AD14" s="192">
        <v>12874.4</v>
      </c>
      <c r="AE14" s="192">
        <v>13004.9</v>
      </c>
      <c r="AF14" s="192">
        <v>12494.2</v>
      </c>
      <c r="AG14" s="192">
        <v>12729</v>
      </c>
      <c r="AH14" s="192">
        <v>12758.8</v>
      </c>
      <c r="AI14" s="192">
        <v>12863.9</v>
      </c>
      <c r="AJ14" s="136">
        <v>10662.6</v>
      </c>
      <c r="AK14" s="136">
        <v>10968.3</v>
      </c>
      <c r="AL14" s="136">
        <v>10671.9</v>
      </c>
      <c r="AM14" s="136">
        <v>10822.1</v>
      </c>
      <c r="AN14" s="136">
        <v>10764.4</v>
      </c>
      <c r="AO14" s="136">
        <v>11159.1</v>
      </c>
      <c r="AP14" s="136">
        <v>10948.3</v>
      </c>
      <c r="AQ14" s="136">
        <v>10794.8</v>
      </c>
      <c r="AR14" s="136">
        <v>8736.1</v>
      </c>
      <c r="AS14" s="136">
        <v>8775.9</v>
      </c>
      <c r="AT14" s="136">
        <v>8786.7999999999993</v>
      </c>
      <c r="AU14" s="136">
        <v>8800.9</v>
      </c>
      <c r="AV14" s="136">
        <v>8948.6</v>
      </c>
      <c r="AW14" s="136">
        <v>8831.5</v>
      </c>
      <c r="AX14" s="136">
        <v>12468</v>
      </c>
      <c r="AY14" s="136">
        <v>13508</v>
      </c>
      <c r="AZ14" s="136">
        <v>10143</v>
      </c>
      <c r="BA14" s="136">
        <v>12261</v>
      </c>
      <c r="BB14" s="136">
        <v>12176</v>
      </c>
      <c r="BC14" s="136">
        <v>9415</v>
      </c>
      <c r="BD14" s="136">
        <v>10005</v>
      </c>
      <c r="BE14" s="136">
        <v>12175</v>
      </c>
      <c r="BF14" s="136">
        <v>10777</v>
      </c>
      <c r="BG14" s="136">
        <v>11709</v>
      </c>
      <c r="BH14" s="136">
        <v>6952</v>
      </c>
      <c r="BI14" s="136">
        <v>3733</v>
      </c>
      <c r="BJ14" s="136">
        <v>3857</v>
      </c>
      <c r="BK14" s="136">
        <v>2267</v>
      </c>
      <c r="BL14" s="136">
        <v>7485</v>
      </c>
      <c r="BM14" s="136">
        <v>7812</v>
      </c>
      <c r="BN14" s="136">
        <v>3706</v>
      </c>
      <c r="BO14" s="136">
        <v>5918.6</v>
      </c>
      <c r="BP14" s="136">
        <v>3831</v>
      </c>
      <c r="BQ14" s="136">
        <v>7092.6</v>
      </c>
      <c r="BR14" s="136">
        <v>0</v>
      </c>
      <c r="BS14" s="136">
        <v>0</v>
      </c>
      <c r="BT14" s="136">
        <v>1613</v>
      </c>
      <c r="BU14" s="136">
        <v>874.9</v>
      </c>
      <c r="BV14" s="136"/>
      <c r="BW14" s="136"/>
      <c r="BX14" s="136"/>
      <c r="BY14" s="136"/>
      <c r="BZ14" s="136">
        <v>1395.2</v>
      </c>
      <c r="CA14" s="136">
        <v>1189.5</v>
      </c>
      <c r="CB14" s="136">
        <v>5120.7</v>
      </c>
      <c r="CC14" s="136">
        <v>5592</v>
      </c>
      <c r="CD14" s="59">
        <v>7.3114926833333271</v>
      </c>
      <c r="CE14" s="59"/>
      <c r="CF14" s="195">
        <v>7.1847138333333245</v>
      </c>
      <c r="CG14" s="195"/>
      <c r="CH14" s="195">
        <v>0.8737235333333343</v>
      </c>
      <c r="CI14" s="195"/>
      <c r="CJ14" s="59">
        <v>1.3355898833333333</v>
      </c>
      <c r="CK14" s="59"/>
      <c r="CL14" s="195">
        <v>33.641074523396867</v>
      </c>
      <c r="CM14" s="195"/>
      <c r="CN14" s="195">
        <v>40.8464974003466</v>
      </c>
      <c r="CO14" s="195"/>
      <c r="CP14" s="195">
        <v>18.576689774696689</v>
      </c>
      <c r="CQ14" s="195"/>
      <c r="CR14" s="59">
        <v>0</v>
      </c>
      <c r="CS14" s="59"/>
      <c r="CT14" s="195">
        <v>1.0249913344887345</v>
      </c>
      <c r="CU14" s="195"/>
      <c r="CV14" s="195">
        <v>2.88</v>
      </c>
      <c r="CW14" s="247"/>
      <c r="CX14" s="193">
        <f>IFERROR(AVERAGEIF(RD[[#This Row],[IS1POA1 (KWh/m2)]:[IS7POA2 (KWh/m2)]],"&lt;&gt;0",RD[[#This Row],[IS1POA1 (KWh/m2)]:[IS7POA2 (KWh/m2)]]),"")</f>
        <v>7.3114926833333271</v>
      </c>
      <c r="CY14" s="193">
        <f>IFERROR(AVERAGEIF(RD[[#This Row],[IS1GHI1 (KWh/m2)]:[IS7GHI2 (KWh/m2)]],"&lt;&gt;0",RD[[#This Row],[IS1GHI1 (KWh/m2)]:[IS7GHI2 (KWh/m2)]]),"")</f>
        <v>7.1847138333333245</v>
      </c>
      <c r="CZ14" s="193">
        <f>IFERROR(AVERAGEIF(RD[[#This Row],[IS1POA_BS1 (KWh/m2)]:[IS7POA_BS2 (KWh/m2)]],"&lt;&gt;0",RD[[#This Row],[IS1POA_BS1 (KWh/m2)]:[IS7POA_BS2 (KWh/m2)]]),"")</f>
        <v>0.8737235333333343</v>
      </c>
      <c r="DA14" s="193">
        <f>IFERROR(AVERAGEIF(RD[[#This Row],[IS1GHI_BS1 (KWh/m2)]:[IS1GHI_BS1 (KWh/m2)2]],"&lt;&gt;0",RD[[#This Row],[IS1GHI_BS1 (KWh/m2)]:[IS1GHI_BS1 (KWh/m2)2]]),"")</f>
        <v>1.3355898833333333</v>
      </c>
      <c r="DB14" s="193">
        <f>IFERROR(AVERAGEIF(RD[[#This Row],[IS1AT1 (°C)]:[IS7AT2 (°C)]],"&lt;&gt;0",RD[[#This Row],[IS1AT1 (°C)]:[IS7AT2 (°C)]]),"")</f>
        <v>33.641074523396867</v>
      </c>
      <c r="DC14" s="193">
        <f>IFERROR(AVERAGEIF(RD[[#This Row],[IS1MT1 (°C)]:[IS7MT2 (°C)]],"&lt;&gt;0",RD[[#This Row],[IS1MT1 (°C)]:[IS7MT2 (°C)]]),"")</f>
        <v>40.8464974003466</v>
      </c>
      <c r="DD14" s="193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193">
        <f>IFERROR(AVERAGEIF(RD[[#This Row],[WS_Solar1_Avg (m/s)]:[IS7_WS_Solar1_Avg (m/s)]],"&lt;&gt;0",RD[[#This Row],[WS_Solar1_Avg (m/s)]:[IS7_WS_Solar1_Avg (m/s)]]),"")</f>
        <v>1.0249913344887345</v>
      </c>
      <c r="DG14" s="193">
        <f>IFERROR(AVERAGEIF(RD[[#This Row],[WS_Solar1_Max (m/s)]:[IS7_WS_Solar1_Max (m/s)]],"&lt;&gt;0",RD[[#This Row],[WS_Solar1_Max (m/s)]:[IS7_WS_Solar1_Max (m/s)]]),"")</f>
        <v>2.88</v>
      </c>
      <c r="DH14" s="193">
        <f>SUM(RD[[#This Row],[IS1Inv1M1]:[IS4Inv4M2]])</f>
        <v>293799.2</v>
      </c>
      <c r="DI14" s="194">
        <f>SUM(RD[[#This Row],[IS7Inv1M1]]+RD[[#This Row],[IS7Inv2M1]])</f>
        <v>17512</v>
      </c>
      <c r="DJ14" s="193">
        <f>SUM(RD[[#This Row],[IS5Inv1M1]:[IS5Inv2M2]])</f>
        <v>43124.9</v>
      </c>
      <c r="DK14" s="193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75">
        <f>SUM(RD[[#This Row],[IS12Inv1M1]:[IS12Inv1M4]])</f>
        <v>20548.2</v>
      </c>
      <c r="DO14" s="275">
        <f>SUM(RD[[#This Row],[IS13Inv1M1]:[IS13Inv2M2]])</f>
        <v>2487.9</v>
      </c>
      <c r="DP14" s="193">
        <f>SUM(RD[[#This Row],[O2R15]:[O2R26]])</f>
        <v>616547</v>
      </c>
      <c r="DQ14" s="158">
        <v>35490.400000000001</v>
      </c>
      <c r="DR14" s="162">
        <v>198.1</v>
      </c>
      <c r="DS14" s="158">
        <v>30353.1</v>
      </c>
      <c r="DT14" s="158">
        <v>211.1</v>
      </c>
      <c r="DU14" s="162">
        <v>34675.599999999999</v>
      </c>
      <c r="DV14" s="162">
        <v>378.5</v>
      </c>
      <c r="DW14" s="158">
        <v>3480.9</v>
      </c>
      <c r="DX14" s="162">
        <v>14.9</v>
      </c>
      <c r="DY14" s="162"/>
      <c r="DZ14" s="162"/>
      <c r="EA14" s="134">
        <v>84.88</v>
      </c>
      <c r="EB14" s="230">
        <v>104787632</v>
      </c>
      <c r="EC14" s="229">
        <v>850093.50399999996</v>
      </c>
      <c r="ED14" s="230">
        <v>1014</v>
      </c>
      <c r="EE14" s="230">
        <v>99172</v>
      </c>
      <c r="EF14" s="158">
        <v>145382.70000000001</v>
      </c>
      <c r="EG14" s="158">
        <v>1683.6</v>
      </c>
      <c r="EH14" s="140">
        <f>IF((RD[[#This Row],[33 kV_F3_Ex
Incomer1]]-DQ13)*1000&lt;0,0,(RD[[#This Row],[33 kV_F3_Ex
Incomer1]]-DQ13)*1000)</f>
        <v>149500</v>
      </c>
      <c r="EI14" s="140">
        <f>IF((RD[[#This Row],[34 kV_F3_Im
Incomer1]]-DR13)*1000&lt;0,0,(RD[[#This Row],[34 kV_F3_Im
Incomer1]]-DR13)*1000)</f>
        <v>400.00000000000568</v>
      </c>
      <c r="EJ14" s="140">
        <f>IF((RD[[#This Row],[33 kV_F4_Ex
Incomer2]]-DS13)*1000&lt;0,0,(RD[[#This Row],[33 kV_F4_Ex
Incomer2]]-DS13)*1000)</f>
        <v>138699.99999999709</v>
      </c>
      <c r="EK14" s="140">
        <f>IF((RD[[#This Row],[34 kV_F4_Im
Incomer2]]-DT13)*1000&lt;0,0,(RD[[#This Row],[34 kV_F4_Im
Incomer2]]-DT13)*1000)</f>
        <v>400.00000000000568</v>
      </c>
      <c r="EL14" s="140">
        <f>IF((RD[[#This Row],[33 kV_F5_Ex
Incomer3]]-DU13)*1000&lt;0,0,(RD[[#This Row],[33 kV_F5_Ex
Incomer3]]-DU13)*1000)</f>
        <v>185000</v>
      </c>
      <c r="EM14" s="140">
        <f>IF((RD[[#This Row],[34 kV_F5_Im
Incomer3]]-DV13)*1000&lt;0,0,(RD[[#This Row],[34 kV_F5_Im
Incomer3]]-DV13)*1000)</f>
        <v>699.99999999998863</v>
      </c>
      <c r="EN14" s="140">
        <f>IF((RD[[#This Row],[33 kV_F6_Ex
Incomer4]]-DW13)*1000&lt;0,0,(RD[[#This Row],[33 kV_F6_Ex
Incomer4]]-DW13)*1000)</f>
        <v>132400.00000000009</v>
      </c>
      <c r="EO14" s="140">
        <f>IF((RD[[#This Row],[33 kV_F6_Im
Incomer4]]-DX13)*1000&lt;0,0,(RD[[#This Row],[33 kV_F6_Im
Incomer4]]-DX13)*1000)</f>
        <v>500</v>
      </c>
      <c r="EP14" s="140">
        <f>IF((RD[[#This Row],[33 kV_F7_Ex
Incomer5]]-DY13)*1000&lt;0,0,(RD[[#This Row],[33 kV_F7_Ex
Incomer5]]-DY13)*1000)</f>
        <v>0</v>
      </c>
      <c r="EQ14" s="140">
        <f>IF((RD[[#This Row],[33 kV_F7_Im
Incomer5]]-DZ13)*1000&lt;0,0,(RD[[#This Row],[33 kV_F7_Im
Incomer5]]-DZ13)*1000)</f>
        <v>0</v>
      </c>
      <c r="ER14" s="140">
        <f>IF((RD[[#This Row],[33 kV_Aux Trafo]]-EA13)*1000&lt;0,0,(RD[[#This Row],[33 kV_Aux Trafo]]-EA13)*1000)</f>
        <v>280.00000000000114</v>
      </c>
      <c r="ES14" s="152">
        <f>IF((RD[[#This Row],[33kV_OG1_Ex_]]-EB13)*1&lt;0,0,(RD[[#This Row],[33kV_OG1_Ex_]]-EB13)*1)</f>
        <v>606118</v>
      </c>
      <c r="ET14" s="140">
        <f>IF((RD[[#This Row],[33kV_OG1_Im]]-EC13)*1&lt;0,0,(RD[[#This Row],[33kV_OG1_Im]]-EC13)*1)</f>
        <v>2017.5979999999981</v>
      </c>
      <c r="EU14" s="140">
        <f>IF((RD[[#This Row],[132kV_TX1_EX]]-ED13)*720&lt;=0,"",(RD[[#This Row],[132kV_TX1_EX]]-ED13)*720)</f>
        <v>2160</v>
      </c>
      <c r="EV14" s="140">
        <f>IF((RD[[#This Row],[132 kV_Tx1_Im]]-EE13)*720&lt;=0,0,(RD[[#This Row],[132 kV_Tx1_Im]]-EE13)*720)</f>
        <v>434880</v>
      </c>
      <c r="EW14" s="140">
        <f>IF((RD[[#This Row],[132kV_L1_Ex]]-EF13)*720&lt;=0,0,(RD[[#This Row],[132kV_L1_Ex]]-EF13)*720)</f>
        <v>604080</v>
      </c>
      <c r="EX14" s="140">
        <f>IF((RD[[#This Row],[132kV_L1_Im]]-EG13)*720&lt;=0,0,(RD[[#This Row],[132kV_L1_Im]]-EG13)*720)</f>
        <v>2591.9999999999345</v>
      </c>
      <c r="EY14" s="231">
        <f>IFERROR(RD[[#This Row],[33kV_OG1_Ex (MWh)]]+RD[[#This Row],[33kV_OG1_Im (MWh)]],"")</f>
        <v>608135.598</v>
      </c>
      <c r="EZ14" s="142">
        <f>RD[[#This Row],[33kV_OG1_Ex (MWh)]]-RD[[#This Row],[33kV_OG1_Im (MWh)]]</f>
        <v>604100.402</v>
      </c>
      <c r="FA14" s="142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32">
        <f>IFERROR((RD[[#This Row],[Sunset Time (POA&lt;20 W/m2)]]-RD[[#This Row],[Sunrise Time (POA&gt;20 W/m2)]])*24,0)</f>
        <v>11.366666666666665</v>
      </c>
      <c r="FD14" s="233">
        <v>102</v>
      </c>
      <c r="FE14" t="s">
        <v>268</v>
      </c>
      <c r="FF14"/>
      <c r="FG14"/>
    </row>
    <row r="15" spans="1:163">
      <c r="A15" s="130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46">
        <v>0.27013888888888887</v>
      </c>
      <c r="G15" s="156">
        <v>0.76458333333333328</v>
      </c>
      <c r="H15" s="121">
        <v>8902.2000000000007</v>
      </c>
      <c r="I15" s="121">
        <v>8897</v>
      </c>
      <c r="J15" s="121">
        <v>8557.2000000000007</v>
      </c>
      <c r="K15" s="121">
        <v>8617.2000000000007</v>
      </c>
      <c r="L15" s="121">
        <v>8814.4</v>
      </c>
      <c r="M15" s="121">
        <v>8910</v>
      </c>
      <c r="N15" s="121">
        <v>8603.9</v>
      </c>
      <c r="O15" s="121">
        <v>9244</v>
      </c>
      <c r="P15" s="121">
        <v>8675.4</v>
      </c>
      <c r="Q15" s="121">
        <v>8631.2000000000007</v>
      </c>
      <c r="R15" s="121">
        <v>8880.9</v>
      </c>
      <c r="S15" s="121">
        <v>8859.2000000000007</v>
      </c>
      <c r="T15" s="121">
        <v>9032.9</v>
      </c>
      <c r="U15" s="121">
        <v>8874.4</v>
      </c>
      <c r="V15" s="121">
        <v>8972.7000000000007</v>
      </c>
      <c r="W15" s="121">
        <v>8784.4</v>
      </c>
      <c r="X15" s="192">
        <v>12461.6</v>
      </c>
      <c r="Y15" s="192">
        <v>13586.3</v>
      </c>
      <c r="Z15" s="192">
        <v>12269.5</v>
      </c>
      <c r="AA15" s="192">
        <v>12889.6</v>
      </c>
      <c r="AB15" s="192">
        <v>13368</v>
      </c>
      <c r="AC15" s="192">
        <v>8318.6</v>
      </c>
      <c r="AD15" s="192">
        <v>12687</v>
      </c>
      <c r="AE15" s="192">
        <v>12834.8</v>
      </c>
      <c r="AF15" s="192">
        <v>12295.3</v>
      </c>
      <c r="AG15" s="192">
        <v>12586</v>
      </c>
      <c r="AH15" s="192">
        <v>12573.5</v>
      </c>
      <c r="AI15" s="192">
        <v>12699.1</v>
      </c>
      <c r="AJ15" s="136">
        <v>10445</v>
      </c>
      <c r="AK15" s="136">
        <v>10743.3</v>
      </c>
      <c r="AL15" s="136">
        <v>10453.1</v>
      </c>
      <c r="AM15" s="136">
        <v>10603</v>
      </c>
      <c r="AN15" s="136">
        <v>10549</v>
      </c>
      <c r="AO15" s="136">
        <v>10946.5</v>
      </c>
      <c r="AP15" s="136">
        <v>10737</v>
      </c>
      <c r="AQ15" s="136">
        <v>10599.2</v>
      </c>
      <c r="AR15" s="136">
        <v>8620.7999999999993</v>
      </c>
      <c r="AS15" s="136">
        <v>8665.5</v>
      </c>
      <c r="AT15" s="136">
        <v>8661.1</v>
      </c>
      <c r="AU15" s="136">
        <v>8674.2000000000007</v>
      </c>
      <c r="AV15" s="136">
        <v>8835.5</v>
      </c>
      <c r="AW15" s="136">
        <v>8719.9</v>
      </c>
      <c r="AX15" s="136">
        <v>12284</v>
      </c>
      <c r="AY15" s="136">
        <v>13371</v>
      </c>
      <c r="AZ15" s="136">
        <v>9963</v>
      </c>
      <c r="BA15" s="136">
        <v>12046</v>
      </c>
      <c r="BB15" s="136">
        <v>8057.3</v>
      </c>
      <c r="BC15" s="136">
        <v>5287</v>
      </c>
      <c r="BD15" s="136">
        <v>9819.4</v>
      </c>
      <c r="BE15" s="136">
        <v>11891.4</v>
      </c>
      <c r="BF15" s="136">
        <v>10776.5</v>
      </c>
      <c r="BG15" s="136">
        <v>11468.6</v>
      </c>
      <c r="BH15" s="136">
        <v>6800</v>
      </c>
      <c r="BI15" s="136">
        <v>3640</v>
      </c>
      <c r="BJ15" s="136">
        <v>5207.5</v>
      </c>
      <c r="BK15" s="136">
        <v>3476.9</v>
      </c>
      <c r="BL15" s="136">
        <v>7263.9</v>
      </c>
      <c r="BM15" s="136">
        <v>7003.3</v>
      </c>
      <c r="BN15" s="136">
        <v>6923</v>
      </c>
      <c r="BO15" s="136">
        <v>3921</v>
      </c>
      <c r="BP15" s="136">
        <v>5782</v>
      </c>
      <c r="BQ15" s="136">
        <v>3611</v>
      </c>
      <c r="BR15" s="136">
        <v>0</v>
      </c>
      <c r="BS15" s="136">
        <v>0</v>
      </c>
      <c r="BT15" s="136">
        <v>1740</v>
      </c>
      <c r="BU15" s="136">
        <v>845</v>
      </c>
      <c r="BV15" s="136"/>
      <c r="BW15" s="136"/>
      <c r="BX15" s="136"/>
      <c r="BY15" s="136"/>
      <c r="BZ15" s="136">
        <v>1356</v>
      </c>
      <c r="CA15" s="136">
        <v>1156</v>
      </c>
      <c r="CB15" s="136">
        <v>4988</v>
      </c>
      <c r="CC15" s="136">
        <v>6053</v>
      </c>
      <c r="CD15" s="59">
        <v>7.195246400000002</v>
      </c>
      <c r="CE15" s="59"/>
      <c r="CF15" s="195">
        <v>7.0545122499999966</v>
      </c>
      <c r="CG15" s="195"/>
      <c r="CH15" s="195">
        <v>0.88503054999999997</v>
      </c>
      <c r="CI15" s="195"/>
      <c r="CJ15" s="59">
        <v>1.3287214333333337</v>
      </c>
      <c r="CK15" s="59"/>
      <c r="CL15" s="195">
        <v>33.79870801033595</v>
      </c>
      <c r="CM15" s="195"/>
      <c r="CN15" s="195">
        <v>41.103325581395296</v>
      </c>
      <c r="CO15" s="195"/>
      <c r="CP15" s="195">
        <v>18.198191214470288</v>
      </c>
      <c r="CQ15" s="195"/>
      <c r="CR15" s="59">
        <v>0</v>
      </c>
      <c r="CS15" s="59"/>
      <c r="CT15" s="195">
        <v>0.94429198966408301</v>
      </c>
      <c r="CU15" s="195"/>
      <c r="CV15" s="195">
        <v>2.9340000000000002</v>
      </c>
      <c r="CW15" s="247"/>
      <c r="CX15" s="193">
        <f>IFERROR(AVERAGEIF(RD[[#This Row],[IS1POA1 (KWh/m2)]:[IS7POA2 (KWh/m2)]],"&lt;&gt;0",RD[[#This Row],[IS1POA1 (KWh/m2)]:[IS7POA2 (KWh/m2)]]),"")</f>
        <v>7.195246400000002</v>
      </c>
      <c r="CY15" s="193">
        <f>IFERROR(AVERAGEIF(RD[[#This Row],[IS1GHI1 (KWh/m2)]:[IS7GHI2 (KWh/m2)]],"&lt;&gt;0",RD[[#This Row],[IS1GHI1 (KWh/m2)]:[IS7GHI2 (KWh/m2)]]),"")</f>
        <v>7.0545122499999966</v>
      </c>
      <c r="CZ15" s="193">
        <f>IFERROR(AVERAGEIF(RD[[#This Row],[IS1POA_BS1 (KWh/m2)]:[IS7POA_BS2 (KWh/m2)]],"&lt;&gt;0",RD[[#This Row],[IS1POA_BS1 (KWh/m2)]:[IS7POA_BS2 (KWh/m2)]]),"")</f>
        <v>0.88503054999999997</v>
      </c>
      <c r="DA15" s="193">
        <f>IFERROR(AVERAGEIF(RD[[#This Row],[IS1GHI_BS1 (KWh/m2)]:[IS1GHI_BS1 (KWh/m2)2]],"&lt;&gt;0",RD[[#This Row],[IS1GHI_BS1 (KWh/m2)]:[IS1GHI_BS1 (KWh/m2)2]]),"")</f>
        <v>1.3287214333333337</v>
      </c>
      <c r="DB15" s="193">
        <f>IFERROR(AVERAGEIF(RD[[#This Row],[IS1AT1 (°C)]:[IS7AT2 (°C)]],"&lt;&gt;0",RD[[#This Row],[IS1AT1 (°C)]:[IS7AT2 (°C)]]),"")</f>
        <v>33.79870801033595</v>
      </c>
      <c r="DC15" s="193">
        <f>IFERROR(AVERAGEIF(RD[[#This Row],[IS1MT1 (°C)]:[IS7MT2 (°C)]],"&lt;&gt;0",RD[[#This Row],[IS1MT1 (°C)]:[IS7MT2 (°C)]]),"")</f>
        <v>41.103325581395296</v>
      </c>
      <c r="DD15" s="193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193">
        <f>IFERROR(AVERAGEIF(RD[[#This Row],[WS_Solar1_Avg (m/s)]:[IS7_WS_Solar1_Avg (m/s)]],"&lt;&gt;0",RD[[#This Row],[WS_Solar1_Avg (m/s)]:[IS7_WS_Solar1_Avg (m/s)]]),"")</f>
        <v>0.94429198966408301</v>
      </c>
      <c r="DG15" s="193">
        <f>IFERROR(AVERAGEIF(RD[[#This Row],[WS_Solar1_Max (m/s)]:[IS7_WS_Solar1_Max (m/s)]],"&lt;&gt;0",RD[[#This Row],[WS_Solar1_Max (m/s)]:[IS7_WS_Solar1_Max (m/s)]]),"")</f>
        <v>2.9340000000000002</v>
      </c>
      <c r="DH15" s="193">
        <f>SUM(RD[[#This Row],[IS1Inv1M1]:[IS4Inv4M2]])</f>
        <v>289826.29999999993</v>
      </c>
      <c r="DI15" s="194">
        <f>SUM(RD[[#This Row],[IS7Inv1M1]]+RD[[#This Row],[IS7Inv2M1]])</f>
        <v>17286.3</v>
      </c>
      <c r="DJ15" s="193">
        <f>SUM(RD[[#This Row],[IS5Inv1M1]:[IS5Inv2M2]])</f>
        <v>42244.4</v>
      </c>
      <c r="DK15" s="193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75">
        <f>SUM(RD[[#This Row],[IS12Inv1M1]:[IS12Inv1M4]])</f>
        <v>20237</v>
      </c>
      <c r="DO15" s="275">
        <f>SUM(RD[[#This Row],[IS13Inv1M1]:[IS13Inv2M2]])</f>
        <v>2585</v>
      </c>
      <c r="DP15" s="193">
        <f>SUM(RD[[#This Row],[O2R15]:[O2R26]])</f>
        <v>601810.19999999995</v>
      </c>
      <c r="DQ15" s="158">
        <v>35637.800000000003</v>
      </c>
      <c r="DR15" s="162">
        <v>198.5</v>
      </c>
      <c r="DS15" s="158">
        <v>30490</v>
      </c>
      <c r="DT15" s="158">
        <v>211.4</v>
      </c>
      <c r="DU15" s="162">
        <v>34857.5</v>
      </c>
      <c r="DV15" s="162">
        <v>379.1</v>
      </c>
      <c r="DW15" s="158">
        <v>3605.8</v>
      </c>
      <c r="DX15" s="162">
        <v>15.3</v>
      </c>
      <c r="DY15" s="162"/>
      <c r="DZ15" s="162"/>
      <c r="EA15" s="134">
        <v>85.18</v>
      </c>
      <c r="EB15" s="230">
        <v>105379184</v>
      </c>
      <c r="EC15" s="229">
        <v>851951.23199999996</v>
      </c>
      <c r="ED15" s="230">
        <v>1016</v>
      </c>
      <c r="EE15" s="230">
        <v>99761</v>
      </c>
      <c r="EF15" s="158">
        <v>146201.5</v>
      </c>
      <c r="EG15" s="158">
        <v>1686.9</v>
      </c>
      <c r="EH15" s="140">
        <f>IF((RD[[#This Row],[33 kV_F3_Ex
Incomer1]]-DQ14)*1000&lt;0,0,(RD[[#This Row],[33 kV_F3_Ex
Incomer1]]-DQ14)*1000)</f>
        <v>147400.00000000146</v>
      </c>
      <c r="EI15" s="140">
        <f>IF((RD[[#This Row],[34 kV_F3_Im
Incomer1]]-DR14)*1000&lt;0,0,(RD[[#This Row],[34 kV_F3_Im
Incomer1]]-DR14)*1000)</f>
        <v>400.00000000000568</v>
      </c>
      <c r="EJ15" s="140">
        <f>IF((RD[[#This Row],[33 kV_F4_Ex
Incomer2]]-DS14)*1000&lt;0,0,(RD[[#This Row],[33 kV_F4_Ex
Incomer2]]-DS14)*1000)</f>
        <v>136900.00000000146</v>
      </c>
      <c r="EK15" s="140">
        <f>IF((RD[[#This Row],[34 kV_F4_Im
Incomer2]]-DT14)*1000&lt;0,0,(RD[[#This Row],[34 kV_F4_Im
Incomer2]]-DT14)*1000)</f>
        <v>300.00000000001137</v>
      </c>
      <c r="EL15" s="140">
        <f>IF((RD[[#This Row],[33 kV_F5_Ex
Incomer3]]-DU14)*1000&lt;0,0,(RD[[#This Row],[33 kV_F5_Ex
Incomer3]]-DU14)*1000)</f>
        <v>181900.00000000146</v>
      </c>
      <c r="EM15" s="140">
        <f>IF((RD[[#This Row],[34 kV_F5_Im
Incomer3]]-DV14)*1000&lt;0,0,(RD[[#This Row],[34 kV_F5_Im
Incomer3]]-DV14)*1000)</f>
        <v>600.00000000002274</v>
      </c>
      <c r="EN15" s="140">
        <f>IF((RD[[#This Row],[33 kV_F6_Ex
Incomer4]]-DW14)*1000&lt;0,0,(RD[[#This Row],[33 kV_F6_Ex
Incomer4]]-DW14)*1000)</f>
        <v>124900.00000000009</v>
      </c>
      <c r="EO15" s="140">
        <f>IF((RD[[#This Row],[33 kV_F6_Im
Incomer4]]-DX14)*1000&lt;0,0,(RD[[#This Row],[33 kV_F6_Im
Incomer4]]-DX14)*1000)</f>
        <v>400.00000000000034</v>
      </c>
      <c r="EP15" s="140">
        <f>IF((RD[[#This Row],[33 kV_F7_Ex
Incomer5]]-DY14)*1000&lt;0,0,(RD[[#This Row],[33 kV_F7_Ex
Incomer5]]-DY14)*1000)</f>
        <v>0</v>
      </c>
      <c r="EQ15" s="140">
        <f>IF((RD[[#This Row],[33 kV_F7_Im
Incomer5]]-DZ14)*1000&lt;0,0,(RD[[#This Row],[33 kV_F7_Im
Incomer5]]-DZ14)*1000)</f>
        <v>0</v>
      </c>
      <c r="ER15" s="140">
        <f>IF((RD[[#This Row],[33 kV_Aux Trafo]]-EA14)*1000&lt;0,0,(RD[[#This Row],[33 kV_Aux Trafo]]-EA14)*1000)</f>
        <v>300.00000000001137</v>
      </c>
      <c r="ES15" s="152">
        <f>IF((RD[[#This Row],[33kV_OG1_Ex_]]-EB14)*1&lt;0,0,(RD[[#This Row],[33kV_OG1_Ex_]]-EB14)*1)</f>
        <v>591552</v>
      </c>
      <c r="ET15" s="140">
        <f>IF((RD[[#This Row],[33kV_OG1_Im]]-EC14)*1&lt;0,0,(RD[[#This Row],[33kV_OG1_Im]]-EC14)*1)</f>
        <v>1857.7280000000028</v>
      </c>
      <c r="EU15" s="140">
        <f>IF((RD[[#This Row],[132kV_TX1_EX]]-ED14)*720&lt;=0,"",(RD[[#This Row],[132kV_TX1_EX]]-ED14)*720)</f>
        <v>1440</v>
      </c>
      <c r="EV15" s="140">
        <f>IF((RD[[#This Row],[132 kV_Tx1_Im]]-EE14)*720&lt;=0,0,(RD[[#This Row],[132 kV_Tx1_Im]]-EE14)*720)</f>
        <v>424080</v>
      </c>
      <c r="EW15" s="140">
        <f>IF((RD[[#This Row],[132kV_L1_Ex]]-EF14)*720&lt;=0,0,(RD[[#This Row],[132kV_L1_Ex]]-EF14)*720)</f>
        <v>589535.99999999162</v>
      </c>
      <c r="EX15" s="140">
        <f>IF((RD[[#This Row],[132kV_L1_Im]]-EG14)*720&lt;=0,0,(RD[[#This Row],[132kV_L1_Im]]-EG14)*720)</f>
        <v>2376.000000000131</v>
      </c>
      <c r="EY15" s="231">
        <f>IFERROR(RD[[#This Row],[33kV_OG1_Ex (MWh)]]+RD[[#This Row],[33kV_OG1_Im (MWh)]],"")</f>
        <v>593409.728</v>
      </c>
      <c r="EZ15" s="142">
        <f>RD[[#This Row],[33kV_OG1_Ex (MWh)]]-RD[[#This Row],[33kV_OG1_Im (MWh)]]</f>
        <v>589694.272</v>
      </c>
      <c r="FA15" s="142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32">
        <f>IFERROR((RD[[#This Row],[Sunset Time (POA&lt;20 W/m2)]]-RD[[#This Row],[Sunrise Time (POA&gt;20 W/m2)]])*24,0)</f>
        <v>11.866666666666665</v>
      </c>
      <c r="FD15" s="233">
        <v>102</v>
      </c>
      <c r="FE15" s="287" t="s">
        <v>269</v>
      </c>
      <c r="FF15"/>
      <c r="FG15"/>
    </row>
    <row r="16" spans="1:163">
      <c r="A16" s="130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46">
        <v>0.2722222222222222</v>
      </c>
      <c r="G16" s="156">
        <v>0.76180555555555551</v>
      </c>
      <c r="H16" s="121">
        <v>8229.2000000000007</v>
      </c>
      <c r="I16" s="121">
        <v>8180.5</v>
      </c>
      <c r="J16" s="121">
        <v>7655.2</v>
      </c>
      <c r="K16" s="121">
        <v>7720.5</v>
      </c>
      <c r="L16" s="121">
        <v>7942.9</v>
      </c>
      <c r="M16" s="121">
        <v>8133.6</v>
      </c>
      <c r="N16" s="121">
        <v>7704</v>
      </c>
      <c r="O16" s="121">
        <v>8638</v>
      </c>
      <c r="P16" s="121">
        <v>8033.8</v>
      </c>
      <c r="Q16" s="121">
        <v>7840.5</v>
      </c>
      <c r="R16" s="121">
        <v>8182.5</v>
      </c>
      <c r="S16" s="121">
        <v>8179.8</v>
      </c>
      <c r="T16" s="121">
        <v>8360.4</v>
      </c>
      <c r="U16" s="121">
        <v>8194.7999999999993</v>
      </c>
      <c r="V16" s="121">
        <v>8283.2999999999993</v>
      </c>
      <c r="W16" s="121">
        <v>8051.5</v>
      </c>
      <c r="X16" s="192">
        <v>11092.5</v>
      </c>
      <c r="Y16" s="192">
        <v>12527.8</v>
      </c>
      <c r="Z16" s="192">
        <v>10870.1</v>
      </c>
      <c r="AA16" s="192">
        <v>11408.5</v>
      </c>
      <c r="AB16" s="192">
        <v>12308</v>
      </c>
      <c r="AC16" s="192">
        <v>7405</v>
      </c>
      <c r="AD16" s="192">
        <v>11386.5</v>
      </c>
      <c r="AE16" s="192">
        <v>11603.1</v>
      </c>
      <c r="AF16" s="192">
        <v>10933.1</v>
      </c>
      <c r="AG16" s="192">
        <v>11249.8</v>
      </c>
      <c r="AH16" s="192">
        <v>11249.4</v>
      </c>
      <c r="AI16" s="192">
        <v>11407.4</v>
      </c>
      <c r="AJ16" s="136">
        <v>9250.1</v>
      </c>
      <c r="AK16" s="136">
        <v>9507.2999999999993</v>
      </c>
      <c r="AL16" s="136">
        <v>9250</v>
      </c>
      <c r="AM16" s="136">
        <v>9380.6</v>
      </c>
      <c r="AN16" s="136">
        <v>9406.6</v>
      </c>
      <c r="AO16" s="136">
        <v>9741.9</v>
      </c>
      <c r="AP16" s="136">
        <v>9584.7000000000007</v>
      </c>
      <c r="AQ16" s="136">
        <v>9438.6</v>
      </c>
      <c r="AR16" s="136">
        <v>7726.7</v>
      </c>
      <c r="AS16" s="136">
        <v>7771.9</v>
      </c>
      <c r="AT16" s="136">
        <v>7699.8</v>
      </c>
      <c r="AU16" s="136">
        <v>7715.5</v>
      </c>
      <c r="AV16" s="136">
        <v>7927.4</v>
      </c>
      <c r="AW16" s="136">
        <v>7798.4</v>
      </c>
      <c r="AX16" s="136">
        <v>11003.1</v>
      </c>
      <c r="AY16" s="136">
        <v>12299.8</v>
      </c>
      <c r="AZ16" s="136">
        <v>8824.5</v>
      </c>
      <c r="BA16" s="136">
        <v>10644.6</v>
      </c>
      <c r="BB16" s="136">
        <v>10517</v>
      </c>
      <c r="BC16" s="136">
        <v>8164.4</v>
      </c>
      <c r="BD16" s="136">
        <v>8661.6</v>
      </c>
      <c r="BE16" s="136">
        <v>10521</v>
      </c>
      <c r="BF16" s="136">
        <v>9490.4</v>
      </c>
      <c r="BG16" s="136">
        <v>10196</v>
      </c>
      <c r="BH16" s="136">
        <v>5973.6</v>
      </c>
      <c r="BI16" s="136">
        <v>4158.8999999999996</v>
      </c>
      <c r="BJ16" s="136">
        <v>4597.3</v>
      </c>
      <c r="BK16" s="136">
        <v>4248.3999999999996</v>
      </c>
      <c r="BL16" s="136">
        <v>6315</v>
      </c>
      <c r="BM16" s="136">
        <v>6214.6</v>
      </c>
      <c r="BN16" s="136">
        <v>6081.8</v>
      </c>
      <c r="BO16" s="136">
        <v>3559.8</v>
      </c>
      <c r="BP16" s="136">
        <v>5072.3999999999996</v>
      </c>
      <c r="BQ16" s="136">
        <v>3166</v>
      </c>
      <c r="BR16" s="136">
        <v>0</v>
      </c>
      <c r="BS16" s="136">
        <v>0</v>
      </c>
      <c r="BT16" s="136">
        <v>1578</v>
      </c>
      <c r="BU16" s="136">
        <v>737</v>
      </c>
      <c r="BV16" s="136"/>
      <c r="BW16" s="136"/>
      <c r="BX16" s="136"/>
      <c r="BY16" s="136"/>
      <c r="BZ16" s="136">
        <v>1172.9000000000001</v>
      </c>
      <c r="CA16" s="136">
        <v>999.5</v>
      </c>
      <c r="CB16" s="136">
        <v>4349.6000000000004</v>
      </c>
      <c r="CC16" s="136">
        <v>5122</v>
      </c>
      <c r="CD16" s="59">
        <v>6.3737436833333359</v>
      </c>
      <c r="CE16" s="59"/>
      <c r="CF16" s="195">
        <v>6.2230471166666685</v>
      </c>
      <c r="CG16" s="195"/>
      <c r="CH16" s="195">
        <v>0.80677334999999928</v>
      </c>
      <c r="CI16" s="195"/>
      <c r="CJ16" s="59">
        <v>1.2042739666666684</v>
      </c>
      <c r="CK16" s="59"/>
      <c r="CL16" s="195">
        <v>33.301143884892149</v>
      </c>
      <c r="CM16" s="195"/>
      <c r="CN16" s="195">
        <v>43.264656115107854</v>
      </c>
      <c r="CO16" s="195"/>
      <c r="CP16" s="195">
        <v>19.770762589928072</v>
      </c>
      <c r="CQ16" s="195"/>
      <c r="CR16" s="59">
        <v>0</v>
      </c>
      <c r="CS16" s="59"/>
      <c r="CT16" s="195">
        <v>0.67707841726618623</v>
      </c>
      <c r="CU16" s="195"/>
      <c r="CV16" s="195">
        <v>2.496</v>
      </c>
      <c r="CW16" s="247"/>
      <c r="CX16" s="193">
        <f>IFERROR(AVERAGEIF(RD[[#This Row],[IS1POA1 (KWh/m2)]:[IS7POA2 (KWh/m2)]],"&lt;&gt;0",RD[[#This Row],[IS1POA1 (KWh/m2)]:[IS7POA2 (KWh/m2)]]),"")</f>
        <v>6.3737436833333359</v>
      </c>
      <c r="CY16" s="193">
        <f>IFERROR(AVERAGEIF(RD[[#This Row],[IS1GHI1 (KWh/m2)]:[IS7GHI2 (KWh/m2)]],"&lt;&gt;0",RD[[#This Row],[IS1GHI1 (KWh/m2)]:[IS7GHI2 (KWh/m2)]]),"")</f>
        <v>6.2230471166666685</v>
      </c>
      <c r="CZ16" s="193">
        <f>IFERROR(AVERAGEIF(RD[[#This Row],[IS1POA_BS1 (KWh/m2)]:[IS7POA_BS2 (KWh/m2)]],"&lt;&gt;0",RD[[#This Row],[IS1POA_BS1 (KWh/m2)]:[IS7POA_BS2 (KWh/m2)]]),"")</f>
        <v>0.80677334999999928</v>
      </c>
      <c r="DA16" s="193">
        <f>IFERROR(AVERAGEIF(RD[[#This Row],[IS1GHI_BS1 (KWh/m2)]:[IS1GHI_BS1 (KWh/m2)2]],"&lt;&gt;0",RD[[#This Row],[IS1GHI_BS1 (KWh/m2)]:[IS1GHI_BS1 (KWh/m2)2]]),"")</f>
        <v>1.2042739666666684</v>
      </c>
      <c r="DB16" s="193">
        <f>IFERROR(AVERAGEIF(RD[[#This Row],[IS1AT1 (°C)]:[IS7AT2 (°C)]],"&lt;&gt;0",RD[[#This Row],[IS1AT1 (°C)]:[IS7AT2 (°C)]]),"")</f>
        <v>33.301143884892149</v>
      </c>
      <c r="DC16" s="193">
        <f>IFERROR(AVERAGEIF(RD[[#This Row],[IS1MT1 (°C)]:[IS7MT2 (°C)]],"&lt;&gt;0",RD[[#This Row],[IS1MT1 (°C)]:[IS7MT2 (°C)]]),"")</f>
        <v>43.264656115107854</v>
      </c>
      <c r="DD16" s="193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193">
        <f>IFERROR(AVERAGEIF(RD[[#This Row],[WS_Solar1_Avg (m/s)]:[IS7_WS_Solar1_Avg (m/s)]],"&lt;&gt;0",RD[[#This Row],[WS_Solar1_Avg (m/s)]:[IS7_WS_Solar1_Avg (m/s)]]),"")</f>
        <v>0.67707841726618623</v>
      </c>
      <c r="DG16" s="193">
        <f>IFERROR(AVERAGEIF(RD[[#This Row],[WS_Solar1_Max (m/s)]:[IS7_WS_Solar1_Max (m/s)]],"&lt;&gt;0",RD[[#This Row],[WS_Solar1_Max (m/s)]:[IS7_WS_Solar1_Max (m/s)]]),"")</f>
        <v>2.496</v>
      </c>
      <c r="DH16" s="193">
        <f>SUM(RD[[#This Row],[IS1Inv1M1]:[IS4Inv4M2]])</f>
        <v>262771.7</v>
      </c>
      <c r="DI16" s="194">
        <f>SUM(RD[[#This Row],[IS7Inv1M1]]+RD[[#This Row],[IS7Inv2M1]])</f>
        <v>15498.599999999999</v>
      </c>
      <c r="DJ16" s="193">
        <f>SUM(RD[[#This Row],[IS5Inv1M1]:[IS5Inv2M2]])</f>
        <v>37388</v>
      </c>
      <c r="DK16" s="193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75">
        <f>SUM(RD[[#This Row],[IS12Inv1M1]:[IS12Inv1M4]])</f>
        <v>17880</v>
      </c>
      <c r="DO16" s="275">
        <f>SUM(RD[[#This Row],[IS13Inv1M1]:[IS13Inv2M2]])</f>
        <v>2315</v>
      </c>
      <c r="DP16" s="193">
        <f>SUM(RD[[#This Row],[O2R15]:[O2R26]])</f>
        <v>548640.4</v>
      </c>
      <c r="DQ16" s="158">
        <v>35770.300000000003</v>
      </c>
      <c r="DR16" s="162">
        <v>199.1</v>
      </c>
      <c r="DS16" s="158">
        <v>30615.4</v>
      </c>
      <c r="DT16" s="158">
        <v>211.9</v>
      </c>
      <c r="DU16" s="162">
        <v>35020</v>
      </c>
      <c r="DV16" s="162">
        <v>380</v>
      </c>
      <c r="DW16" s="158">
        <v>3725</v>
      </c>
      <c r="DX16" s="162">
        <v>15.9</v>
      </c>
      <c r="DY16" s="162"/>
      <c r="DZ16" s="162"/>
      <c r="EA16" s="134">
        <v>85.55</v>
      </c>
      <c r="EB16" s="230">
        <v>105919365</v>
      </c>
      <c r="EC16" s="229">
        <v>854759.23199999996</v>
      </c>
      <c r="ED16" s="230">
        <v>1020</v>
      </c>
      <c r="EE16" s="230">
        <v>100299</v>
      </c>
      <c r="EF16" s="158">
        <v>146949.20000000001</v>
      </c>
      <c r="EG16" s="158">
        <v>1691.9</v>
      </c>
      <c r="EH16" s="140">
        <f>IF((RD[[#This Row],[33 kV_F3_Ex
Incomer1]]-DQ15)*1000&lt;0,0,(RD[[#This Row],[33 kV_F3_Ex
Incomer1]]-DQ15)*1000)</f>
        <v>132500</v>
      </c>
      <c r="EI16" s="140">
        <f>IF((RD[[#This Row],[34 kV_F3_Im
Incomer1]]-DR15)*1000&lt;0,0,(RD[[#This Row],[34 kV_F3_Im
Incomer1]]-DR15)*1000)</f>
        <v>599.99999999999432</v>
      </c>
      <c r="EJ16" s="140">
        <f>IF((RD[[#This Row],[33 kV_F4_Ex
Incomer2]]-DS15)*1000&lt;0,0,(RD[[#This Row],[33 kV_F4_Ex
Incomer2]]-DS15)*1000)</f>
        <v>125400.00000000146</v>
      </c>
      <c r="EK16" s="140">
        <f>IF((RD[[#This Row],[34 kV_F4_Im
Incomer2]]-DT15)*1000&lt;0,0,(RD[[#This Row],[34 kV_F4_Im
Incomer2]]-DT15)*1000)</f>
        <v>500</v>
      </c>
      <c r="EL16" s="140">
        <f>IF((RD[[#This Row],[33 kV_F5_Ex
Incomer3]]-DU15)*1000&lt;0,0,(RD[[#This Row],[33 kV_F5_Ex
Incomer3]]-DU15)*1000)</f>
        <v>162500</v>
      </c>
      <c r="EM16" s="140">
        <f>IF((RD[[#This Row],[34 kV_F5_Im
Incomer3]]-DV15)*1000&lt;0,0,(RD[[#This Row],[34 kV_F5_Im
Incomer3]]-DV15)*1000)</f>
        <v>899.99999999997726</v>
      </c>
      <c r="EN16" s="140">
        <f>IF((RD[[#This Row],[33 kV_F6_Ex
Incomer4]]-DW15)*1000&lt;0,0,(RD[[#This Row],[33 kV_F6_Ex
Incomer4]]-DW15)*1000)</f>
        <v>119199.99999999983</v>
      </c>
      <c r="EO16" s="140">
        <f>IF((RD[[#This Row],[33 kV_F6_Im
Incomer4]]-DX15)*1000&lt;0,0,(RD[[#This Row],[33 kV_F6_Im
Incomer4]]-DX15)*1000)</f>
        <v>599.99999999999966</v>
      </c>
      <c r="EP16" s="140">
        <f>IF((RD[[#This Row],[33 kV_F7_Ex
Incomer5]]-DY15)*1000&lt;0,0,(RD[[#This Row],[33 kV_F7_Ex
Incomer5]]-DY15)*1000)</f>
        <v>0</v>
      </c>
      <c r="EQ16" s="140">
        <f>IF((RD[[#This Row],[33 kV_F7_Im
Incomer5]]-DZ15)*1000&lt;0,0,(RD[[#This Row],[33 kV_F7_Im
Incomer5]]-DZ15)*1000)</f>
        <v>0</v>
      </c>
      <c r="ER16" s="140">
        <f>IF((RD[[#This Row],[33 kV_Aux Trafo]]-EA15)*1000&lt;0,0,(RD[[#This Row],[33 kV_Aux Trafo]]-EA15)*1000)</f>
        <v>369.99999999999034</v>
      </c>
      <c r="ES16" s="152">
        <f>IF((RD[[#This Row],[33kV_OG1_Ex_]]-EB15)*1&lt;0,0,(RD[[#This Row],[33kV_OG1_Ex_]]-EB15)*1)</f>
        <v>540181</v>
      </c>
      <c r="ET16" s="140">
        <f>IF((RD[[#This Row],[33kV_OG1_Im]]-EC15)*1&lt;0,0,(RD[[#This Row],[33kV_OG1_Im]]-EC15)*1)</f>
        <v>2808</v>
      </c>
      <c r="EU16" s="140">
        <f>IF((RD[[#This Row],[132kV_TX1_EX]]-ED15)*720&lt;=0,"",(RD[[#This Row],[132kV_TX1_EX]]-ED15)*720)</f>
        <v>2880</v>
      </c>
      <c r="EV16" s="140">
        <f>IF((RD[[#This Row],[132 kV_Tx1_Im]]-EE15)*720&lt;=0,0,(RD[[#This Row],[132 kV_Tx1_Im]]-EE15)*720)</f>
        <v>387360</v>
      </c>
      <c r="EW16" s="140">
        <f>IF((RD[[#This Row],[132kV_L1_Ex]]-EF15)*720&lt;=0,0,(RD[[#This Row],[132kV_L1_Ex]]-EF15)*720)</f>
        <v>538344.00000000838</v>
      </c>
      <c r="EX16" s="140">
        <f>IF((RD[[#This Row],[132kV_L1_Im]]-EG15)*720&lt;=0,0,(RD[[#This Row],[132kV_L1_Im]]-EG15)*720)</f>
        <v>3600</v>
      </c>
      <c r="EY16" s="231">
        <f>IFERROR(RD[[#This Row],[33kV_OG1_Ex (MWh)]]+RD[[#This Row],[33kV_OG1_Im (MWh)]],"")</f>
        <v>542989</v>
      </c>
      <c r="EZ16" s="142">
        <f>RD[[#This Row],[33kV_OG1_Ex (MWh)]]-RD[[#This Row],[33kV_OG1_Im (MWh)]]</f>
        <v>537373</v>
      </c>
      <c r="FA16" s="142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32">
        <f>IFERROR((RD[[#This Row],[Sunset Time (POA&lt;20 W/m2)]]-RD[[#This Row],[Sunrise Time (POA&gt;20 W/m2)]])*24,0)</f>
        <v>11.75</v>
      </c>
      <c r="FD16" s="233">
        <v>102</v>
      </c>
      <c r="FE16" t="s">
        <v>265</v>
      </c>
      <c r="FF16"/>
      <c r="FG16"/>
    </row>
    <row r="17" spans="1:163">
      <c r="A17" s="130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46">
        <v>0.27013888888888887</v>
      </c>
      <c r="G17" s="156">
        <v>0.76388888888888884</v>
      </c>
      <c r="H17" s="121">
        <v>8779</v>
      </c>
      <c r="I17" s="121">
        <v>8766.9</v>
      </c>
      <c r="J17" s="121">
        <v>8369.2000000000007</v>
      </c>
      <c r="K17" s="121">
        <v>8426</v>
      </c>
      <c r="L17" s="121">
        <v>8617</v>
      </c>
      <c r="M17" s="121">
        <v>8734.2999999999993</v>
      </c>
      <c r="N17" s="121">
        <v>8435.2000000000007</v>
      </c>
      <c r="O17" s="121">
        <v>9140.9</v>
      </c>
      <c r="P17" s="121">
        <v>8555.4</v>
      </c>
      <c r="Q17" s="121">
        <v>8444.4</v>
      </c>
      <c r="R17" s="121">
        <v>8718.2000000000007</v>
      </c>
      <c r="S17" s="121">
        <v>8712.7000000000007</v>
      </c>
      <c r="T17" s="121">
        <v>8871.9</v>
      </c>
      <c r="U17" s="121">
        <v>8730.9</v>
      </c>
      <c r="V17" s="121">
        <v>8804.5</v>
      </c>
      <c r="W17" s="121">
        <v>8633.7999999999993</v>
      </c>
      <c r="X17" s="192">
        <v>12147.3</v>
      </c>
      <c r="Y17" s="192">
        <v>13296.7</v>
      </c>
      <c r="Z17" s="192">
        <v>11945.7</v>
      </c>
      <c r="AA17" s="192">
        <v>12529.3</v>
      </c>
      <c r="AB17" s="192">
        <v>13059.2</v>
      </c>
      <c r="AC17" s="192">
        <v>8030</v>
      </c>
      <c r="AD17" s="192">
        <v>12369</v>
      </c>
      <c r="AE17" s="192">
        <v>12520.3</v>
      </c>
      <c r="AF17" s="192">
        <v>11890.8</v>
      </c>
      <c r="AG17" s="192">
        <v>12240</v>
      </c>
      <c r="AH17" s="192">
        <v>12264.5</v>
      </c>
      <c r="AI17" s="192">
        <v>12393.2</v>
      </c>
      <c r="AJ17" s="136">
        <v>10039.299999999999</v>
      </c>
      <c r="AK17" s="136">
        <v>10324.700000000001</v>
      </c>
      <c r="AL17" s="136">
        <v>9901.1</v>
      </c>
      <c r="AM17" s="136">
        <v>10192.700000000001</v>
      </c>
      <c r="AN17" s="136">
        <v>10236</v>
      </c>
      <c r="AO17" s="136">
        <v>10571.8</v>
      </c>
      <c r="AP17" s="136">
        <v>10391</v>
      </c>
      <c r="AQ17" s="136">
        <v>10261.1</v>
      </c>
      <c r="AR17" s="136">
        <v>8351.2999999999993</v>
      </c>
      <c r="AS17" s="136">
        <v>8428.9</v>
      </c>
      <c r="AT17" s="136">
        <v>8355.4</v>
      </c>
      <c r="AU17" s="136">
        <v>8378.7000000000007</v>
      </c>
      <c r="AV17" s="136">
        <v>8560.9</v>
      </c>
      <c r="AW17" s="136">
        <v>8489.7999999999993</v>
      </c>
      <c r="AX17" s="136">
        <v>11891</v>
      </c>
      <c r="AY17" s="136">
        <v>12969</v>
      </c>
      <c r="AZ17" s="136">
        <v>9527</v>
      </c>
      <c r="BA17" s="136">
        <v>11514</v>
      </c>
      <c r="BB17" s="136">
        <v>8099</v>
      </c>
      <c r="BC17" s="136">
        <v>5450</v>
      </c>
      <c r="BD17" s="136">
        <v>9467</v>
      </c>
      <c r="BE17" s="136">
        <v>11504</v>
      </c>
      <c r="BF17" s="136">
        <v>10430</v>
      </c>
      <c r="BG17" s="136">
        <v>11193</v>
      </c>
      <c r="BH17" s="136">
        <v>7137</v>
      </c>
      <c r="BI17" s="136">
        <v>4613</v>
      </c>
      <c r="BJ17" s="136">
        <v>6374</v>
      </c>
      <c r="BK17" s="136">
        <v>4745</v>
      </c>
      <c r="BL17" s="136">
        <v>7094</v>
      </c>
      <c r="BM17" s="136">
        <v>7047</v>
      </c>
      <c r="BN17" s="136">
        <v>6864</v>
      </c>
      <c r="BO17" s="136">
        <v>4374</v>
      </c>
      <c r="BP17" s="136">
        <v>5354</v>
      </c>
      <c r="BQ17" s="136">
        <v>3502.5</v>
      </c>
      <c r="BR17" s="136">
        <v>0</v>
      </c>
      <c r="BS17" s="136">
        <v>0</v>
      </c>
      <c r="BT17" s="136">
        <v>1765.8</v>
      </c>
      <c r="BU17" s="136">
        <v>825</v>
      </c>
      <c r="BV17" s="136"/>
      <c r="BW17" s="136"/>
      <c r="BX17" s="136"/>
      <c r="BY17" s="136"/>
      <c r="BZ17" s="136">
        <v>1312.6</v>
      </c>
      <c r="CA17" s="136">
        <v>1118</v>
      </c>
      <c r="CB17" s="136">
        <v>4670</v>
      </c>
      <c r="CC17" s="136">
        <v>6743</v>
      </c>
      <c r="CD17" s="59">
        <v>7.0734217833333304</v>
      </c>
      <c r="CE17" s="59"/>
      <c r="CF17" s="195">
        <v>6.8726599833333353</v>
      </c>
      <c r="CG17" s="195"/>
      <c r="CH17" s="195">
        <v>0.90686493333333273</v>
      </c>
      <c r="CI17" s="195"/>
      <c r="CJ17" s="59">
        <v>1.3100595666666666</v>
      </c>
      <c r="CK17" s="59"/>
      <c r="CL17" s="195">
        <v>34.802471111111082</v>
      </c>
      <c r="CM17" s="195"/>
      <c r="CN17" s="195">
        <v>48.381240888888932</v>
      </c>
      <c r="CO17" s="195"/>
      <c r="CP17" s="195">
        <v>20.884071111111076</v>
      </c>
      <c r="CQ17" s="195"/>
      <c r="CR17" s="59">
        <v>0</v>
      </c>
      <c r="CS17" s="59"/>
      <c r="CT17" s="195">
        <v>1.3233893333333344</v>
      </c>
      <c r="CU17" s="195"/>
      <c r="CV17" s="195">
        <v>3.4350000000000001</v>
      </c>
      <c r="CW17" s="247"/>
      <c r="CX17" s="193">
        <f>IFERROR(AVERAGEIF(RD[[#This Row],[IS1POA1 (KWh/m2)]:[IS7POA2 (KWh/m2)]],"&lt;&gt;0",RD[[#This Row],[IS1POA1 (KWh/m2)]:[IS7POA2 (KWh/m2)]]),"")</f>
        <v>7.0734217833333304</v>
      </c>
      <c r="CY17" s="193">
        <f>IFERROR(AVERAGEIF(RD[[#This Row],[IS1GHI1 (KWh/m2)]:[IS7GHI2 (KWh/m2)]],"&lt;&gt;0",RD[[#This Row],[IS1GHI1 (KWh/m2)]:[IS7GHI2 (KWh/m2)]]),"")</f>
        <v>6.8726599833333353</v>
      </c>
      <c r="CZ17" s="193">
        <f>IFERROR(AVERAGEIF(RD[[#This Row],[IS1POA_BS1 (KWh/m2)]:[IS7POA_BS2 (KWh/m2)]],"&lt;&gt;0",RD[[#This Row],[IS1POA_BS1 (KWh/m2)]:[IS7POA_BS2 (KWh/m2)]]),"")</f>
        <v>0.90686493333333273</v>
      </c>
      <c r="DA17" s="193">
        <f>IFERROR(AVERAGEIF(RD[[#This Row],[IS1GHI_BS1 (KWh/m2)]:[IS1GHI_BS1 (KWh/m2)2]],"&lt;&gt;0",RD[[#This Row],[IS1GHI_BS1 (KWh/m2)]:[IS1GHI_BS1 (KWh/m2)2]]),"")</f>
        <v>1.3100595666666666</v>
      </c>
      <c r="DB17" s="193">
        <f>IFERROR(AVERAGEIF(RD[[#This Row],[IS1AT1 (°C)]:[IS7AT2 (°C)]],"&lt;&gt;0",RD[[#This Row],[IS1AT1 (°C)]:[IS7AT2 (°C)]]),"")</f>
        <v>34.802471111111082</v>
      </c>
      <c r="DC17" s="193">
        <f>IFERROR(AVERAGEIF(RD[[#This Row],[IS1MT1 (°C)]:[IS7MT2 (°C)]],"&lt;&gt;0",RD[[#This Row],[IS1MT1 (°C)]:[IS7MT2 (°C)]]),"")</f>
        <v>48.381240888888932</v>
      </c>
      <c r="DD17" s="193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193">
        <f>IFERROR(AVERAGEIF(RD[[#This Row],[WS_Solar1_Avg (m/s)]:[IS7_WS_Solar1_Avg (m/s)]],"&lt;&gt;0",RD[[#This Row],[WS_Solar1_Avg (m/s)]:[IS7_WS_Solar1_Avg (m/s)]]),"")</f>
        <v>1.3233893333333344</v>
      </c>
      <c r="DG17" s="193">
        <f>IFERROR(AVERAGEIF(RD[[#This Row],[WS_Solar1_Max (m/s)]:[IS7_WS_Solar1_Max (m/s)]],"&lt;&gt;0",RD[[#This Row],[WS_Solar1_Max (m/s)]:[IS7_WS_Solar1_Max (m/s)]]),"")</f>
        <v>3.4350000000000001</v>
      </c>
      <c r="DH17" s="193">
        <f>SUM(RD[[#This Row],[IS1Inv1M1]:[IS4Inv4M2]])</f>
        <v>283426.3</v>
      </c>
      <c r="DI17" s="194">
        <f>SUM(RD[[#This Row],[IS7Inv1M1]]+RD[[#This Row],[IS7Inv2M1]])</f>
        <v>16780.199999999997</v>
      </c>
      <c r="DJ17" s="193">
        <f>SUM(RD[[#This Row],[IS5Inv1M1]:[IS5Inv2M2]])</f>
        <v>40457.800000000003</v>
      </c>
      <c r="DK17" s="193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75">
        <f>SUM(RD[[#This Row],[IS12Inv1M1]:[IS12Inv1M4]])</f>
        <v>20094.5</v>
      </c>
      <c r="DO17" s="275">
        <f>SUM(RD[[#This Row],[IS13Inv1M1]:[IS13Inv2M2]])</f>
        <v>2590.8000000000002</v>
      </c>
      <c r="DP17" s="193">
        <f>SUM(RD[[#This Row],[O2R15]:[O2R26]])</f>
        <v>591491.9</v>
      </c>
      <c r="DQ17" s="158">
        <v>35913.800000000003</v>
      </c>
      <c r="DR17" s="162">
        <v>199.3</v>
      </c>
      <c r="DS17" s="158">
        <v>30749.599999999999</v>
      </c>
      <c r="DT17" s="158">
        <v>212.1</v>
      </c>
      <c r="DU17" s="162">
        <v>35195.599999999999</v>
      </c>
      <c r="DV17" s="162">
        <v>380.4</v>
      </c>
      <c r="DW17" s="158">
        <v>3852.5</v>
      </c>
      <c r="DX17" s="162">
        <v>16.3</v>
      </c>
      <c r="DY17" s="162"/>
      <c r="DZ17" s="162"/>
      <c r="EA17" s="134">
        <v>85.81</v>
      </c>
      <c r="EB17" s="230">
        <v>106500956</v>
      </c>
      <c r="EC17" s="229">
        <v>856109.24800000002</v>
      </c>
      <c r="ED17" s="230">
        <v>1022</v>
      </c>
      <c r="EE17" s="230">
        <v>100878</v>
      </c>
      <c r="EF17" s="158">
        <v>147754.20000000001</v>
      </c>
      <c r="EG17" s="158">
        <v>1694.2</v>
      </c>
      <c r="EH17" s="140">
        <f>IF((RD[[#This Row],[33 kV_F3_Ex
Incomer1]]-DQ16)*1000&lt;0,0,(RD[[#This Row],[33 kV_F3_Ex
Incomer1]]-DQ16)*1000)</f>
        <v>143500</v>
      </c>
      <c r="EI17" s="140">
        <f>IF((RD[[#This Row],[34 kV_F3_Im
Incomer1]]-DR16)*1000&lt;0,0,(RD[[#This Row],[34 kV_F3_Im
Incomer1]]-DR16)*1000)</f>
        <v>200.00000000001705</v>
      </c>
      <c r="EJ17" s="140">
        <f>IF((RD[[#This Row],[33 kV_F4_Ex
Incomer2]]-DS16)*1000&lt;0,0,(RD[[#This Row],[33 kV_F4_Ex
Incomer2]]-DS16)*1000)</f>
        <v>134199.99999999709</v>
      </c>
      <c r="EK17" s="140">
        <f>IF((RD[[#This Row],[34 kV_F4_Im
Incomer2]]-DT16)*1000&lt;0,0,(RD[[#This Row],[34 kV_F4_Im
Incomer2]]-DT16)*1000)</f>
        <v>199.99999999998863</v>
      </c>
      <c r="EL17" s="140">
        <f>IF((RD[[#This Row],[33 kV_F5_Ex
Incomer3]]-DU16)*1000&lt;0,0,(RD[[#This Row],[33 kV_F5_Ex
Incomer3]]-DU16)*1000)</f>
        <v>175599.99999999854</v>
      </c>
      <c r="EM17" s="140">
        <f>IF((RD[[#This Row],[34 kV_F5_Im
Incomer3]]-DV16)*1000&lt;0,0,(RD[[#This Row],[34 kV_F5_Im
Incomer3]]-DV16)*1000)</f>
        <v>399.99999999997726</v>
      </c>
      <c r="EN17" s="140">
        <f>IF((RD[[#This Row],[33 kV_F6_Ex
Incomer4]]-DW16)*1000&lt;0,0,(RD[[#This Row],[33 kV_F6_Ex
Incomer4]]-DW16)*1000)</f>
        <v>127500</v>
      </c>
      <c r="EO17" s="140">
        <f>IF((RD[[#This Row],[33 kV_F6_Im
Incomer4]]-DX16)*1000&lt;0,0,(RD[[#This Row],[33 kV_F6_Im
Incomer4]]-DX16)*1000)</f>
        <v>400.00000000000034</v>
      </c>
      <c r="EP17" s="140">
        <f>IF((RD[[#This Row],[33 kV_F7_Ex
Incomer5]]-DY16)*1000&lt;0,0,(RD[[#This Row],[33 kV_F7_Ex
Incomer5]]-DY16)*1000)</f>
        <v>0</v>
      </c>
      <c r="EQ17" s="140">
        <f>IF((RD[[#This Row],[33 kV_F7_Im
Incomer5]]-DZ16)*1000&lt;0,0,(RD[[#This Row],[33 kV_F7_Im
Incomer5]]-DZ16)*1000)</f>
        <v>0</v>
      </c>
      <c r="ER17" s="140">
        <f>IF((RD[[#This Row],[33 kV_Aux Trafo]]-EA16)*1000&lt;0,0,(RD[[#This Row],[33 kV_Aux Trafo]]-EA16)*1000)</f>
        <v>260.00000000000512</v>
      </c>
      <c r="ES17" s="152">
        <f>IF((RD[[#This Row],[33kV_OG1_Ex_]]-EB16)*1&lt;0,0,(RD[[#This Row],[33kV_OG1_Ex_]]-EB16)*1)</f>
        <v>581591</v>
      </c>
      <c r="ET17" s="140">
        <f>IF((RD[[#This Row],[33kV_OG1_Im]]-EC16)*1&lt;0,0,(RD[[#This Row],[33kV_OG1_Im]]-EC16)*1)</f>
        <v>1350.0160000000615</v>
      </c>
      <c r="EU17" s="140">
        <f>IF((RD[[#This Row],[132kV_TX1_EX]]-ED16)*720&lt;=0,"",(RD[[#This Row],[132kV_TX1_EX]]-ED16)*720)</f>
        <v>1440</v>
      </c>
      <c r="EV17" s="140">
        <f>IF((RD[[#This Row],[132 kV_Tx1_Im]]-EE16)*720&lt;=0,0,(RD[[#This Row],[132 kV_Tx1_Im]]-EE16)*720)</f>
        <v>416880</v>
      </c>
      <c r="EW17" s="140">
        <f>IF((RD[[#This Row],[132kV_L1_Ex]]-EF16)*720&lt;=0,0,(RD[[#This Row],[132kV_L1_Ex]]-EF16)*720)</f>
        <v>579600</v>
      </c>
      <c r="EX17" s="140">
        <f>IF((RD[[#This Row],[132kV_L1_Im]]-EG16)*720&lt;=0,0,(RD[[#This Row],[132kV_L1_Im]]-EG16)*720)</f>
        <v>1655.9999999999673</v>
      </c>
      <c r="EY17" s="231">
        <f>IFERROR(RD[[#This Row],[33kV_OG1_Ex (MWh)]]+RD[[#This Row],[33kV_OG1_Im (MWh)]],"")</f>
        <v>582941.01600000006</v>
      </c>
      <c r="EZ17" s="142">
        <f>RD[[#This Row],[33kV_OG1_Ex (MWh)]]-RD[[#This Row],[33kV_OG1_Im (MWh)]]</f>
        <v>580240.98399999994</v>
      </c>
      <c r="FA17" s="142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32">
        <f>IFERROR((RD[[#This Row],[Sunset Time (POA&lt;20 W/m2)]]-RD[[#This Row],[Sunrise Time (POA&gt;20 W/m2)]])*24,0)</f>
        <v>11.85</v>
      </c>
      <c r="FD17" s="233">
        <v>102</v>
      </c>
      <c r="FE17" t="s">
        <v>265</v>
      </c>
      <c r="FF17"/>
      <c r="FG17"/>
    </row>
    <row r="18" spans="1:163">
      <c r="A18" s="130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46">
        <v>0.27083333333333331</v>
      </c>
      <c r="G18" s="156">
        <v>0.76527777777777772</v>
      </c>
      <c r="H18" s="121">
        <v>8884</v>
      </c>
      <c r="I18" s="121">
        <v>8858.5</v>
      </c>
      <c r="J18" s="121">
        <v>8441.7000000000007</v>
      </c>
      <c r="K18" s="121">
        <v>8540.4</v>
      </c>
      <c r="L18" s="121">
        <v>8713.2000000000007</v>
      </c>
      <c r="M18" s="121">
        <v>8832</v>
      </c>
      <c r="N18" s="121">
        <v>8519</v>
      </c>
      <c r="O18" s="121">
        <v>9265.7000000000007</v>
      </c>
      <c r="P18" s="121">
        <v>8631.6</v>
      </c>
      <c r="Q18" s="121">
        <v>8568.4</v>
      </c>
      <c r="R18" s="121">
        <v>8787.4</v>
      </c>
      <c r="S18" s="121">
        <v>8766</v>
      </c>
      <c r="T18" s="121">
        <v>8933.7999999999993</v>
      </c>
      <c r="U18" s="121">
        <v>8812.6</v>
      </c>
      <c r="V18" s="121">
        <v>8880.2000000000007</v>
      </c>
      <c r="W18" s="121">
        <v>8699.1</v>
      </c>
      <c r="X18" s="192">
        <v>12270.6</v>
      </c>
      <c r="Y18" s="192">
        <v>13420.9</v>
      </c>
      <c r="Z18" s="192">
        <v>12043</v>
      </c>
      <c r="AA18" s="192">
        <v>12628.5</v>
      </c>
      <c r="AB18" s="192">
        <v>13205.7</v>
      </c>
      <c r="AC18" s="192">
        <v>8105.5</v>
      </c>
      <c r="AD18" s="192">
        <v>12467.7</v>
      </c>
      <c r="AE18" s="192">
        <v>12627.3</v>
      </c>
      <c r="AF18" s="192">
        <v>12027.3</v>
      </c>
      <c r="AG18" s="192">
        <v>12349</v>
      </c>
      <c r="AH18" s="192">
        <v>12389.2</v>
      </c>
      <c r="AI18" s="192">
        <v>12482.7</v>
      </c>
      <c r="AJ18" s="136">
        <v>10256.799999999999</v>
      </c>
      <c r="AK18" s="136">
        <v>10515.9</v>
      </c>
      <c r="AL18" s="136">
        <v>10202.6</v>
      </c>
      <c r="AM18" s="136">
        <v>10244.299999999999</v>
      </c>
      <c r="AN18" s="136">
        <v>10324.799999999999</v>
      </c>
      <c r="AO18" s="136">
        <v>10649</v>
      </c>
      <c r="AP18" s="136">
        <v>10480.1</v>
      </c>
      <c r="AQ18" s="136">
        <v>10333.9</v>
      </c>
      <c r="AR18" s="136">
        <v>8428.7000000000007</v>
      </c>
      <c r="AS18" s="136">
        <v>8483.7999999999993</v>
      </c>
      <c r="AT18" s="136">
        <v>8485.7000000000007</v>
      </c>
      <c r="AU18" s="136">
        <v>8433.6</v>
      </c>
      <c r="AV18" s="136">
        <v>8702.2999999999993</v>
      </c>
      <c r="AW18" s="136">
        <v>8578.2999999999993</v>
      </c>
      <c r="AX18" s="136">
        <v>11986</v>
      </c>
      <c r="AY18" s="136">
        <v>13111</v>
      </c>
      <c r="AZ18" s="136">
        <v>9629</v>
      </c>
      <c r="BA18" s="136">
        <v>11593</v>
      </c>
      <c r="BB18" s="136">
        <v>11553</v>
      </c>
      <c r="BC18" s="136">
        <v>8957</v>
      </c>
      <c r="BD18" s="136">
        <v>9496</v>
      </c>
      <c r="BE18" s="136">
        <v>11524</v>
      </c>
      <c r="BF18" s="136">
        <v>10733</v>
      </c>
      <c r="BG18" s="136">
        <v>11224</v>
      </c>
      <c r="BH18" s="136">
        <v>7158</v>
      </c>
      <c r="BI18" s="136">
        <v>4624</v>
      </c>
      <c r="BJ18" s="136">
        <v>6637</v>
      </c>
      <c r="BK18" s="136">
        <v>5033</v>
      </c>
      <c r="BL18" s="136">
        <v>7133</v>
      </c>
      <c r="BM18" s="136">
        <v>7097</v>
      </c>
      <c r="BN18" s="136">
        <v>6970</v>
      </c>
      <c r="BO18" s="136">
        <v>4377</v>
      </c>
      <c r="BP18" s="136">
        <v>5649</v>
      </c>
      <c r="BQ18" s="136">
        <v>3324</v>
      </c>
      <c r="BR18" s="136">
        <v>0</v>
      </c>
      <c r="BS18" s="136">
        <v>0</v>
      </c>
      <c r="BT18" s="136">
        <v>1764</v>
      </c>
      <c r="BU18" s="136">
        <v>824</v>
      </c>
      <c r="BV18" s="136"/>
      <c r="BW18" s="136"/>
      <c r="BX18" s="136"/>
      <c r="BY18" s="136"/>
      <c r="BZ18" s="136">
        <v>1325</v>
      </c>
      <c r="CA18" s="136">
        <v>1129</v>
      </c>
      <c r="CB18" s="136">
        <v>4688</v>
      </c>
      <c r="CC18" s="136">
        <v>7260</v>
      </c>
      <c r="CD18" s="59">
        <v>7.0755978333333296</v>
      </c>
      <c r="CE18" s="59"/>
      <c r="CF18" s="195">
        <v>6.9105347333333302</v>
      </c>
      <c r="CG18" s="195"/>
      <c r="CH18" s="195">
        <v>0.903054466666667</v>
      </c>
      <c r="CI18" s="195"/>
      <c r="CJ18" s="59">
        <v>1.3228814166666651</v>
      </c>
      <c r="CK18" s="59"/>
      <c r="CL18" s="195">
        <v>32.857876480541414</v>
      </c>
      <c r="CM18" s="195"/>
      <c r="CN18" s="195">
        <v>45.95619543147204</v>
      </c>
      <c r="CO18" s="195"/>
      <c r="CP18" s="195">
        <v>28.471260575296082</v>
      </c>
      <c r="CQ18" s="195"/>
      <c r="CR18" s="59">
        <v>0</v>
      </c>
      <c r="CS18" s="59"/>
      <c r="CT18" s="195">
        <v>1.4104035532994941</v>
      </c>
      <c r="CU18" s="195"/>
      <c r="CV18" s="195">
        <v>3.3119999999999998</v>
      </c>
      <c r="CW18" s="247"/>
      <c r="CX18" s="193">
        <f>IFERROR(AVERAGEIF(RD[[#This Row],[IS1POA1 (KWh/m2)]:[IS7POA2 (KWh/m2)]],"&lt;&gt;0",RD[[#This Row],[IS1POA1 (KWh/m2)]:[IS7POA2 (KWh/m2)]]),"")</f>
        <v>7.0755978333333296</v>
      </c>
      <c r="CY18" s="193">
        <f>IFERROR(AVERAGEIF(RD[[#This Row],[IS1GHI1 (KWh/m2)]:[IS7GHI2 (KWh/m2)]],"&lt;&gt;0",RD[[#This Row],[IS1GHI1 (KWh/m2)]:[IS7GHI2 (KWh/m2)]]),"")</f>
        <v>6.9105347333333302</v>
      </c>
      <c r="CZ18" s="193">
        <f>IFERROR(AVERAGEIF(RD[[#This Row],[IS1POA_BS1 (KWh/m2)]:[IS7POA_BS2 (KWh/m2)]],"&lt;&gt;0",RD[[#This Row],[IS1POA_BS1 (KWh/m2)]:[IS7POA_BS2 (KWh/m2)]]),"")</f>
        <v>0.903054466666667</v>
      </c>
      <c r="DA18" s="193">
        <f>IFERROR(AVERAGEIF(RD[[#This Row],[IS1GHI_BS1 (KWh/m2)]:[IS1GHI_BS1 (KWh/m2)2]],"&lt;&gt;0",RD[[#This Row],[IS1GHI_BS1 (KWh/m2)]:[IS1GHI_BS1 (KWh/m2)2]]),"")</f>
        <v>1.3228814166666651</v>
      </c>
      <c r="DB18" s="193">
        <f>IFERROR(AVERAGEIF(RD[[#This Row],[IS1AT1 (°C)]:[IS7AT2 (°C)]],"&lt;&gt;0",RD[[#This Row],[IS1AT1 (°C)]:[IS7AT2 (°C)]]),"")</f>
        <v>32.857876480541414</v>
      </c>
      <c r="DC18" s="193">
        <f>IFERROR(AVERAGEIF(RD[[#This Row],[IS1MT1 (°C)]:[IS7MT2 (°C)]],"&lt;&gt;0",RD[[#This Row],[IS1MT1 (°C)]:[IS7MT2 (°C)]]),"")</f>
        <v>45.95619543147204</v>
      </c>
      <c r="DD18" s="193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193">
        <f>IFERROR(AVERAGEIF(RD[[#This Row],[WS_Solar1_Avg (m/s)]:[IS7_WS_Solar1_Avg (m/s)]],"&lt;&gt;0",RD[[#This Row],[WS_Solar1_Avg (m/s)]:[IS7_WS_Solar1_Avg (m/s)]]),"")</f>
        <v>1.4104035532994941</v>
      </c>
      <c r="DG18" s="193">
        <f>IFERROR(AVERAGEIF(RD[[#This Row],[WS_Solar1_Max (m/s)]:[IS7_WS_Solar1_Max (m/s)]],"&lt;&gt;0",RD[[#This Row],[WS_Solar1_Max (m/s)]:[IS7_WS_Solar1_Max (m/s)]]),"")</f>
        <v>3.3119999999999998</v>
      </c>
      <c r="DH18" s="193">
        <f>SUM(RD[[#This Row],[IS1Inv1M1]:[IS4Inv4M2]])</f>
        <v>286151</v>
      </c>
      <c r="DI18" s="194">
        <f>SUM(RD[[#This Row],[IS7Inv1M1]]+RD[[#This Row],[IS7Inv2M1]])</f>
        <v>16912.5</v>
      </c>
      <c r="DJ18" s="193">
        <f>SUM(RD[[#This Row],[IS5Inv1M1]:[IS5Inv2M2]])</f>
        <v>41219.599999999991</v>
      </c>
      <c r="DK18" s="193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75">
        <f>SUM(RD[[#This Row],[IS12Inv1M1]:[IS12Inv1M4]])</f>
        <v>20320</v>
      </c>
      <c r="DO18" s="275">
        <f>SUM(RD[[#This Row],[IS13Inv1M1]:[IS13Inv2M2]])</f>
        <v>2588</v>
      </c>
      <c r="DP18" s="193">
        <f>SUM(RD[[#This Row],[O2R15]:[O2R26]])</f>
        <v>605068.80000000005</v>
      </c>
      <c r="DQ18" s="158">
        <v>36058.699999999997</v>
      </c>
      <c r="DR18" s="162">
        <v>199.8</v>
      </c>
      <c r="DS18" s="158">
        <v>30885.5</v>
      </c>
      <c r="DT18" s="158">
        <v>212.6</v>
      </c>
      <c r="DU18" s="162">
        <v>35373.199999999997</v>
      </c>
      <c r="DV18" s="162">
        <v>381.2</v>
      </c>
      <c r="DW18" s="158">
        <v>3988.6</v>
      </c>
      <c r="DX18" s="162">
        <v>16.899999999999999</v>
      </c>
      <c r="DY18" s="162"/>
      <c r="DZ18" s="162"/>
      <c r="EA18" s="134">
        <v>86.13</v>
      </c>
      <c r="EB18" s="230">
        <v>107095990</v>
      </c>
      <c r="EC18" s="229">
        <v>858690.81599999999</v>
      </c>
      <c r="ED18" s="230">
        <v>1025</v>
      </c>
      <c r="EE18" s="230">
        <v>101471</v>
      </c>
      <c r="EF18" s="158">
        <v>148577.70000000001</v>
      </c>
      <c r="EG18" s="158">
        <v>1698.8</v>
      </c>
      <c r="EH18" s="140">
        <f>IF((RD[[#This Row],[33 kV_F3_Ex
Incomer1]]-DQ17)*1000&lt;0,0,(RD[[#This Row],[33 kV_F3_Ex
Incomer1]]-DQ17)*1000)</f>
        <v>144899.99999999418</v>
      </c>
      <c r="EI18" s="140">
        <f>IF((RD[[#This Row],[34 kV_F3_Im
Incomer1]]-DR17)*1000&lt;0,0,(RD[[#This Row],[34 kV_F3_Im
Incomer1]]-DR17)*1000)</f>
        <v>500</v>
      </c>
      <c r="EJ18" s="140">
        <f>IF((RD[[#This Row],[33 kV_F4_Ex
Incomer2]]-DS17)*1000&lt;0,0,(RD[[#This Row],[33 kV_F4_Ex
Incomer2]]-DS17)*1000)</f>
        <v>135900.00000000146</v>
      </c>
      <c r="EK18" s="140">
        <f>IF((RD[[#This Row],[34 kV_F4_Im
Incomer2]]-DT17)*1000&lt;0,0,(RD[[#This Row],[34 kV_F4_Im
Incomer2]]-DT17)*1000)</f>
        <v>500</v>
      </c>
      <c r="EL18" s="140">
        <f>IF((RD[[#This Row],[33 kV_F5_Ex
Incomer3]]-DU17)*1000&lt;0,0,(RD[[#This Row],[33 kV_F5_Ex
Incomer3]]-DU17)*1000)</f>
        <v>177599.99999999854</v>
      </c>
      <c r="EM18" s="140">
        <f>IF((RD[[#This Row],[34 kV_F5_Im
Incomer3]]-DV17)*1000&lt;0,0,(RD[[#This Row],[34 kV_F5_Im
Incomer3]]-DV17)*1000)</f>
        <v>800.00000000001137</v>
      </c>
      <c r="EN18" s="140">
        <f>IF((RD[[#This Row],[33 kV_F6_Ex
Incomer4]]-DW17)*1000&lt;0,0,(RD[[#This Row],[33 kV_F6_Ex
Incomer4]]-DW17)*1000)</f>
        <v>136099.99999999991</v>
      </c>
      <c r="EO18" s="140">
        <f>IF((RD[[#This Row],[33 kV_F6_Im
Incomer4]]-DX17)*1000&lt;0,0,(RD[[#This Row],[33 kV_F6_Im
Incomer4]]-DX17)*1000)</f>
        <v>599.99999999999784</v>
      </c>
      <c r="EP18" s="140">
        <f>IF((RD[[#This Row],[33 kV_F7_Ex
Incomer5]]-DY17)*1000&lt;0,0,(RD[[#This Row],[33 kV_F7_Ex
Incomer5]]-DY17)*1000)</f>
        <v>0</v>
      </c>
      <c r="EQ18" s="140">
        <f>IF((RD[[#This Row],[33 kV_F7_Im
Incomer5]]-DZ17)*1000&lt;0,0,(RD[[#This Row],[33 kV_F7_Im
Incomer5]]-DZ17)*1000)</f>
        <v>0</v>
      </c>
      <c r="ER18" s="140">
        <f>IF((RD[[#This Row],[33 kV_Aux Trafo]]-EA17)*1000&lt;0,0,(RD[[#This Row],[33 kV_Aux Trafo]]-EA17)*1000)</f>
        <v>319.99999999999318</v>
      </c>
      <c r="ES18" s="152">
        <f>IF((RD[[#This Row],[33kV_OG1_Ex_]]-EB17)*1&lt;0,0,(RD[[#This Row],[33kV_OG1_Ex_]]-EB17)*1)</f>
        <v>595034</v>
      </c>
      <c r="ET18" s="140">
        <f>IF((RD[[#This Row],[33kV_OG1_Im]]-EC17)*1&lt;0,0,(RD[[#This Row],[33kV_OG1_Im]]-EC17)*1)</f>
        <v>2581.5679999999702</v>
      </c>
      <c r="EU18" s="140">
        <f>IF((RD[[#This Row],[132kV_TX1_EX]]-ED17)*720&lt;=0,"",(RD[[#This Row],[132kV_TX1_EX]]-ED17)*720)</f>
        <v>2160</v>
      </c>
      <c r="EV18" s="140">
        <f>IF((RD[[#This Row],[132 kV_Tx1_Im]]-EE17)*720&lt;=0,0,(RD[[#This Row],[132 kV_Tx1_Im]]-EE17)*720)</f>
        <v>426960</v>
      </c>
      <c r="EW18" s="140">
        <f>IF((RD[[#This Row],[132kV_L1_Ex]]-EF17)*720&lt;=0,0,(RD[[#This Row],[132kV_L1_Ex]]-EF17)*720)</f>
        <v>592920</v>
      </c>
      <c r="EX18" s="140">
        <f>IF((RD[[#This Row],[132kV_L1_Im]]-EG17)*720&lt;=0,0,(RD[[#This Row],[132kV_L1_Im]]-EG17)*720)</f>
        <v>3311.9999999999345</v>
      </c>
      <c r="EY18" s="231">
        <f>IFERROR(RD[[#This Row],[33kV_OG1_Ex (MWh)]]+RD[[#This Row],[33kV_OG1_Im (MWh)]],"")</f>
        <v>597615.56799999997</v>
      </c>
      <c r="EZ18" s="142">
        <f>RD[[#This Row],[33kV_OG1_Ex (MWh)]]-RD[[#This Row],[33kV_OG1_Im (MWh)]]</f>
        <v>592452.43200000003</v>
      </c>
      <c r="FA18" s="142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32">
        <f>IFERROR((RD[[#This Row],[Sunset Time (POA&lt;20 W/m2)]]-RD[[#This Row],[Sunrise Time (POA&gt;20 W/m2)]])*24,0)</f>
        <v>11.866666666666665</v>
      </c>
      <c r="FD18" s="233">
        <v>102</v>
      </c>
      <c r="FE18" t="s">
        <v>268</v>
      </c>
      <c r="FF18"/>
      <c r="FG18"/>
    </row>
    <row r="19" spans="1:163">
      <c r="A19" s="130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46">
        <v>0.26944444444444443</v>
      </c>
      <c r="G19" s="156">
        <v>0.7680555555555556</v>
      </c>
      <c r="H19" s="121">
        <v>9054.7999999999993</v>
      </c>
      <c r="I19" s="121">
        <v>9025</v>
      </c>
      <c r="J19" s="121">
        <v>8571.1</v>
      </c>
      <c r="K19" s="121">
        <v>8711.4</v>
      </c>
      <c r="L19" s="121">
        <v>8854.7999999999993</v>
      </c>
      <c r="M19" s="121">
        <v>8972.9</v>
      </c>
      <c r="N19" s="121">
        <v>8652.2000000000007</v>
      </c>
      <c r="O19" s="121">
        <v>9410.4</v>
      </c>
      <c r="P19" s="121">
        <v>8743.9</v>
      </c>
      <c r="Q19" s="121">
        <v>8686.5</v>
      </c>
      <c r="R19" s="121">
        <v>8875.2000000000007</v>
      </c>
      <c r="S19" s="121">
        <v>8846.5</v>
      </c>
      <c r="T19" s="121">
        <v>9024.6</v>
      </c>
      <c r="U19" s="121">
        <v>8891.4</v>
      </c>
      <c r="V19" s="121">
        <v>8981.1</v>
      </c>
      <c r="W19" s="121">
        <v>8820</v>
      </c>
      <c r="X19" s="192">
        <v>12436.8</v>
      </c>
      <c r="Y19" s="192">
        <v>13510.8</v>
      </c>
      <c r="Z19" s="192">
        <v>12234.1</v>
      </c>
      <c r="AA19" s="192">
        <v>12800.7</v>
      </c>
      <c r="AB19" s="192">
        <v>13276.5</v>
      </c>
      <c r="AC19" s="192">
        <v>8331.1</v>
      </c>
      <c r="AD19" s="192">
        <v>12544.8</v>
      </c>
      <c r="AE19" s="192">
        <v>12712.9</v>
      </c>
      <c r="AF19" s="192">
        <v>12120</v>
      </c>
      <c r="AG19" s="192">
        <v>12453</v>
      </c>
      <c r="AH19" s="192">
        <v>12476.1</v>
      </c>
      <c r="AI19" s="192">
        <v>12585.9</v>
      </c>
      <c r="AJ19" s="136">
        <v>10360.5</v>
      </c>
      <c r="AK19" s="136">
        <v>10753</v>
      </c>
      <c r="AL19" s="136">
        <v>10379.5</v>
      </c>
      <c r="AM19" s="136">
        <v>10400.5</v>
      </c>
      <c r="AN19" s="136">
        <v>10492.2</v>
      </c>
      <c r="AO19" s="136">
        <v>10823</v>
      </c>
      <c r="AP19" s="136">
        <v>10643</v>
      </c>
      <c r="AQ19" s="136">
        <v>10503.6</v>
      </c>
      <c r="AR19" s="136">
        <v>8550.9</v>
      </c>
      <c r="AS19" s="136">
        <v>8612.9</v>
      </c>
      <c r="AT19" s="136">
        <v>8479.2000000000007</v>
      </c>
      <c r="AU19" s="136">
        <v>8576.7999999999993</v>
      </c>
      <c r="AV19" s="136">
        <v>8896.5</v>
      </c>
      <c r="AW19" s="136">
        <v>8707.9</v>
      </c>
      <c r="AX19" s="136">
        <v>12170</v>
      </c>
      <c r="AY19" s="136">
        <v>13314</v>
      </c>
      <c r="AZ19" s="136">
        <v>9811</v>
      </c>
      <c r="BA19" s="136">
        <v>11771</v>
      </c>
      <c r="BB19" s="136">
        <v>0</v>
      </c>
      <c r="BC19" s="136">
        <v>0</v>
      </c>
      <c r="BD19" s="136">
        <v>9322.1</v>
      </c>
      <c r="BE19" s="136">
        <v>11309.2</v>
      </c>
      <c r="BF19" s="136">
        <v>10655.7</v>
      </c>
      <c r="BG19" s="136">
        <v>11178.7</v>
      </c>
      <c r="BH19" s="136">
        <v>7487.2</v>
      </c>
      <c r="BI19" s="136">
        <v>4550.7</v>
      </c>
      <c r="BJ19" s="136">
        <v>6810</v>
      </c>
      <c r="BK19" s="136">
        <v>4999</v>
      </c>
      <c r="BL19" s="136">
        <v>7045</v>
      </c>
      <c r="BM19" s="136">
        <v>6950</v>
      </c>
      <c r="BN19" s="136">
        <v>6917</v>
      </c>
      <c r="BO19" s="136">
        <v>4325</v>
      </c>
      <c r="BP19" s="136">
        <v>5659</v>
      </c>
      <c r="BQ19" s="136">
        <v>3292</v>
      </c>
      <c r="BR19" s="136">
        <v>0</v>
      </c>
      <c r="BS19" s="136">
        <v>0</v>
      </c>
      <c r="BT19" s="136">
        <v>1482</v>
      </c>
      <c r="BU19" s="136">
        <v>692</v>
      </c>
      <c r="BV19" s="136"/>
      <c r="BW19" s="136"/>
      <c r="BX19" s="136"/>
      <c r="BY19" s="136"/>
      <c r="BZ19" s="136">
        <v>1326</v>
      </c>
      <c r="CA19" s="136">
        <v>1134</v>
      </c>
      <c r="CB19" s="136">
        <v>4679</v>
      </c>
      <c r="CC19" s="136">
        <v>7195</v>
      </c>
      <c r="CD19" s="59">
        <v>7.132342966666652</v>
      </c>
      <c r="CE19" s="59"/>
      <c r="CF19" s="195">
        <v>6.9940562999999969</v>
      </c>
      <c r="CG19" s="195"/>
      <c r="CH19" s="195">
        <v>0.88438691666666613</v>
      </c>
      <c r="CI19" s="195"/>
      <c r="CJ19" s="59">
        <v>1.3164961666666657</v>
      </c>
      <c r="CK19" s="59"/>
      <c r="CL19" s="195">
        <v>30.362980599647294</v>
      </c>
      <c r="CM19" s="195"/>
      <c r="CN19" s="195">
        <v>44.854952380952348</v>
      </c>
      <c r="CO19" s="195"/>
      <c r="CP19" s="195">
        <v>38.916754850088168</v>
      </c>
      <c r="CQ19" s="195"/>
      <c r="CR19" s="59">
        <v>0</v>
      </c>
      <c r="CS19" s="59"/>
      <c r="CT19" s="195">
        <v>1.3114761904761902</v>
      </c>
      <c r="CU19" s="195"/>
      <c r="CV19" s="195">
        <v>2.9550000000000001</v>
      </c>
      <c r="CW19" s="247"/>
      <c r="CX19" s="193">
        <f>IFERROR(AVERAGEIF(RD[[#This Row],[IS1POA1 (KWh/m2)]:[IS7POA2 (KWh/m2)]],"&lt;&gt;0",RD[[#This Row],[IS1POA1 (KWh/m2)]:[IS7POA2 (KWh/m2)]]),"")</f>
        <v>7.132342966666652</v>
      </c>
      <c r="CY19" s="193">
        <f>IFERROR(AVERAGEIF(RD[[#This Row],[IS1GHI1 (KWh/m2)]:[IS7GHI2 (KWh/m2)]],"&lt;&gt;0",RD[[#This Row],[IS1GHI1 (KWh/m2)]:[IS7GHI2 (KWh/m2)]]),"")</f>
        <v>6.9940562999999969</v>
      </c>
      <c r="CZ19" s="193">
        <f>IFERROR(AVERAGEIF(RD[[#This Row],[IS1POA_BS1 (KWh/m2)]:[IS7POA_BS2 (KWh/m2)]],"&lt;&gt;0",RD[[#This Row],[IS1POA_BS1 (KWh/m2)]:[IS7POA_BS2 (KWh/m2)]]),"")</f>
        <v>0.88438691666666613</v>
      </c>
      <c r="DA19" s="193">
        <f>IFERROR(AVERAGEIF(RD[[#This Row],[IS1GHI_BS1 (KWh/m2)]:[IS1GHI_BS1 (KWh/m2)2]],"&lt;&gt;0",RD[[#This Row],[IS1GHI_BS1 (KWh/m2)]:[IS1GHI_BS1 (KWh/m2)2]]),"")</f>
        <v>1.3164961666666657</v>
      </c>
      <c r="DB19" s="193">
        <f>IFERROR(AVERAGEIF(RD[[#This Row],[IS1AT1 (°C)]:[IS7AT2 (°C)]],"&lt;&gt;0",RD[[#This Row],[IS1AT1 (°C)]:[IS7AT2 (°C)]]),"")</f>
        <v>30.362980599647294</v>
      </c>
      <c r="DC19" s="193">
        <f>IFERROR(AVERAGEIF(RD[[#This Row],[IS1MT1 (°C)]:[IS7MT2 (°C)]],"&lt;&gt;0",RD[[#This Row],[IS1MT1 (°C)]:[IS7MT2 (°C)]]),"")</f>
        <v>44.854952380952348</v>
      </c>
      <c r="DD19" s="193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193">
        <f>IFERROR(AVERAGEIF(RD[[#This Row],[WS_Solar1_Avg (m/s)]:[IS7_WS_Solar1_Avg (m/s)]],"&lt;&gt;0",RD[[#This Row],[WS_Solar1_Avg (m/s)]:[IS7_WS_Solar1_Avg (m/s)]]),"")</f>
        <v>1.3114761904761902</v>
      </c>
      <c r="DG19" s="193">
        <f>IFERROR(AVERAGEIF(RD[[#This Row],[WS_Solar1_Max (m/s)]:[IS7_WS_Solar1_Max (m/s)]],"&lt;&gt;0",RD[[#This Row],[WS_Solar1_Max (m/s)]:[IS7_WS_Solar1_Max (m/s)]]),"")</f>
        <v>2.9550000000000001</v>
      </c>
      <c r="DH19" s="193">
        <f>SUM(RD[[#This Row],[IS1Inv1M1]:[IS4Inv4M2]])</f>
        <v>289604.5</v>
      </c>
      <c r="DI19" s="194">
        <f>SUM(RD[[#This Row],[IS7Inv1M1]]+RD[[#This Row],[IS7Inv2M1]])</f>
        <v>17163.8</v>
      </c>
      <c r="DJ19" s="193">
        <f>SUM(RD[[#This Row],[IS5Inv1M1]:[IS5Inv2M2]])</f>
        <v>41893.5</v>
      </c>
      <c r="DK19" s="193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75">
        <f>SUM(RD[[#This Row],[IS12Inv1M1]:[IS12Inv1M4]])</f>
        <v>20193</v>
      </c>
      <c r="DO19" s="275">
        <f>SUM(RD[[#This Row],[IS13Inv1M1]:[IS13Inv2M2]])</f>
        <v>2174</v>
      </c>
      <c r="DP19" s="193">
        <f>SUM(RD[[#This Row],[O2R15]:[O2R26]])</f>
        <v>589858.6</v>
      </c>
      <c r="DQ19" s="158">
        <v>36205</v>
      </c>
      <c r="DR19" s="162">
        <v>200.1</v>
      </c>
      <c r="DS19" s="158">
        <v>31023.7</v>
      </c>
      <c r="DT19" s="158">
        <v>212.8</v>
      </c>
      <c r="DU19" s="162">
        <v>35553.5</v>
      </c>
      <c r="DV19" s="162">
        <v>381.7</v>
      </c>
      <c r="DW19" s="158">
        <v>4106.7</v>
      </c>
      <c r="DX19" s="162">
        <v>17.2</v>
      </c>
      <c r="DY19" s="162"/>
      <c r="DZ19" s="162"/>
      <c r="EA19" s="134">
        <v>86.37</v>
      </c>
      <c r="EB19" s="230">
        <v>107679096</v>
      </c>
      <c r="EC19" s="229">
        <v>860142.78399999999</v>
      </c>
      <c r="ED19" s="230">
        <v>1027</v>
      </c>
      <c r="EE19" s="230">
        <v>102052</v>
      </c>
      <c r="EF19" s="158">
        <v>149384.79999999999</v>
      </c>
      <c r="EG19" s="158">
        <v>1701.3</v>
      </c>
      <c r="EH19" s="140">
        <f>IF((RD[[#This Row],[33 kV_F3_Ex
Incomer1]]-DQ18)*1000&lt;0,0,(RD[[#This Row],[33 kV_F3_Ex
Incomer1]]-DQ18)*1000)</f>
        <v>146300.00000000291</v>
      </c>
      <c r="EI19" s="140">
        <f>IF((RD[[#This Row],[34 kV_F3_Im
Incomer1]]-DR18)*1000&lt;0,0,(RD[[#This Row],[34 kV_F3_Im
Incomer1]]-DR18)*1000)</f>
        <v>299.99999999998295</v>
      </c>
      <c r="EJ19" s="140">
        <f>IF((RD[[#This Row],[33 kV_F4_Ex
Incomer2]]-DS18)*1000&lt;0,0,(RD[[#This Row],[33 kV_F4_Ex
Incomer2]]-DS18)*1000)</f>
        <v>138200.00000000073</v>
      </c>
      <c r="EK19" s="140">
        <f>IF((RD[[#This Row],[34 kV_F4_Im
Incomer2]]-DT18)*1000&lt;0,0,(RD[[#This Row],[34 kV_F4_Im
Incomer2]]-DT18)*1000)</f>
        <v>200.00000000001705</v>
      </c>
      <c r="EL19" s="140">
        <f>IF((RD[[#This Row],[33 kV_F5_Ex
Incomer3]]-DU18)*1000&lt;0,0,(RD[[#This Row],[33 kV_F5_Ex
Incomer3]]-DU18)*1000)</f>
        <v>180300.00000000291</v>
      </c>
      <c r="EM19" s="140">
        <f>IF((RD[[#This Row],[34 kV_F5_Im
Incomer3]]-DV18)*1000&lt;0,0,(RD[[#This Row],[34 kV_F5_Im
Incomer3]]-DV18)*1000)</f>
        <v>500</v>
      </c>
      <c r="EN19" s="140">
        <f>IF((RD[[#This Row],[33 kV_F6_Ex
Incomer4]]-DW18)*1000&lt;0,0,(RD[[#This Row],[33 kV_F6_Ex
Incomer4]]-DW18)*1000)</f>
        <v>118099.99999999991</v>
      </c>
      <c r="EO19" s="140">
        <f>IF((RD[[#This Row],[33 kV_F6_Im
Incomer4]]-DX18)*1000&lt;0,0,(RD[[#This Row],[33 kV_F6_Im
Incomer4]]-DX18)*1000)</f>
        <v>300.00000000000068</v>
      </c>
      <c r="EP19" s="140">
        <f>IF((RD[[#This Row],[33 kV_F7_Ex
Incomer5]]-DY18)*1000&lt;0,0,(RD[[#This Row],[33 kV_F7_Ex
Incomer5]]-DY18)*1000)</f>
        <v>0</v>
      </c>
      <c r="EQ19" s="140">
        <f>IF((RD[[#This Row],[33 kV_F7_Im
Incomer5]]-DZ18)*1000&lt;0,0,(RD[[#This Row],[33 kV_F7_Im
Incomer5]]-DZ18)*1000)</f>
        <v>0</v>
      </c>
      <c r="ER19" s="140">
        <f>IF((RD[[#This Row],[33 kV_Aux Trafo]]-EA18)*1000&lt;0,0,(RD[[#This Row],[33 kV_Aux Trafo]]-EA18)*1000)</f>
        <v>240.00000000000909</v>
      </c>
      <c r="ES19" s="152">
        <f>IF((RD[[#This Row],[33kV_OG1_Ex_]]-EB18)*1&lt;0,0,(RD[[#This Row],[33kV_OG1_Ex_]]-EB18)*1)</f>
        <v>583106</v>
      </c>
      <c r="ET19" s="140">
        <f>IF((RD[[#This Row],[33kV_OG1_Im]]-EC18)*1&lt;0,0,(RD[[#This Row],[33kV_OG1_Im]]-EC18)*1)</f>
        <v>1451.9679999999935</v>
      </c>
      <c r="EU19" s="140">
        <f>IF((RD[[#This Row],[132kV_TX1_EX]]-ED18)*720&lt;=0,"",(RD[[#This Row],[132kV_TX1_EX]]-ED18)*720)</f>
        <v>1440</v>
      </c>
      <c r="EV19" s="140">
        <f>IF((RD[[#This Row],[132 kV_Tx1_Im]]-EE18)*720&lt;=0,0,(RD[[#This Row],[132 kV_Tx1_Im]]-EE18)*720)</f>
        <v>418320</v>
      </c>
      <c r="EW19" s="140">
        <f>IF((RD[[#This Row],[132kV_L1_Ex]]-EF18)*720&lt;=0,0,(RD[[#This Row],[132kV_L1_Ex]]-EF18)*720)</f>
        <v>581111.99999998324</v>
      </c>
      <c r="EX19" s="140">
        <f>IF((RD[[#This Row],[132kV_L1_Im]]-EG18)*720&lt;=0,0,(RD[[#This Row],[132kV_L1_Im]]-EG18)*720)</f>
        <v>1800</v>
      </c>
      <c r="EY19" s="231">
        <f>IFERROR(RD[[#This Row],[33kV_OG1_Ex (MWh)]]+RD[[#This Row],[33kV_OG1_Im (MWh)]],"")</f>
        <v>584557.96799999999</v>
      </c>
      <c r="EZ19" s="142">
        <f>RD[[#This Row],[33kV_OG1_Ex (MWh)]]-RD[[#This Row],[33kV_OG1_Im (MWh)]]</f>
        <v>581654.03200000001</v>
      </c>
      <c r="FA19" s="142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32">
        <f>IFERROR((RD[[#This Row],[Sunset Time (POA&lt;20 W/m2)]]-RD[[#This Row],[Sunrise Time (POA&gt;20 W/m2)]])*24,0)</f>
        <v>11.966666666666669</v>
      </c>
      <c r="FD19" s="233">
        <v>102</v>
      </c>
      <c r="FE19" t="s">
        <v>270</v>
      </c>
      <c r="FF19"/>
      <c r="FG19"/>
    </row>
    <row r="20" spans="1:163">
      <c r="A20" s="130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46">
        <v>0.2673611111111111</v>
      </c>
      <c r="G20" s="156">
        <v>0.76666666666666672</v>
      </c>
      <c r="H20" s="121">
        <v>8838.6</v>
      </c>
      <c r="I20" s="121">
        <v>8816.1</v>
      </c>
      <c r="J20" s="121">
        <v>8389.5</v>
      </c>
      <c r="K20" s="121">
        <v>8507.7000000000007</v>
      </c>
      <c r="L20" s="121">
        <v>8727.9</v>
      </c>
      <c r="M20" s="121">
        <v>8774.7999999999993</v>
      </c>
      <c r="N20" s="121">
        <v>8472.2999999999993</v>
      </c>
      <c r="O20" s="121">
        <v>9170.5</v>
      </c>
      <c r="P20" s="121">
        <v>8511.7999999999993</v>
      </c>
      <c r="Q20" s="121">
        <v>8486.5</v>
      </c>
      <c r="R20" s="121">
        <v>8700.2999999999993</v>
      </c>
      <c r="S20" s="121">
        <v>8678.2999999999993</v>
      </c>
      <c r="T20" s="121">
        <v>8798.7000000000007</v>
      </c>
      <c r="U20" s="121">
        <v>8695</v>
      </c>
      <c r="V20" s="121">
        <v>8762.1</v>
      </c>
      <c r="W20" s="121">
        <v>8607.4</v>
      </c>
      <c r="X20" s="192">
        <v>12285.1</v>
      </c>
      <c r="Y20" s="192">
        <v>13278.4</v>
      </c>
      <c r="Z20" s="192">
        <v>12035.8</v>
      </c>
      <c r="AA20" s="192">
        <v>12486.9</v>
      </c>
      <c r="AB20" s="192">
        <v>13138.4</v>
      </c>
      <c r="AC20" s="192">
        <v>8303.1</v>
      </c>
      <c r="AD20" s="192">
        <v>12551.4</v>
      </c>
      <c r="AE20" s="192">
        <v>12597.2</v>
      </c>
      <c r="AF20" s="192">
        <v>12047</v>
      </c>
      <c r="AG20" s="192">
        <v>12324</v>
      </c>
      <c r="AH20" s="192">
        <v>12379.1</v>
      </c>
      <c r="AI20" s="192">
        <v>12481.1</v>
      </c>
      <c r="AJ20" s="136">
        <v>10282.6</v>
      </c>
      <c r="AK20" s="136">
        <v>10592.3</v>
      </c>
      <c r="AL20" s="136">
        <v>10256.6</v>
      </c>
      <c r="AM20" s="136">
        <v>10291.799999999999</v>
      </c>
      <c r="AN20" s="136">
        <v>10255.4</v>
      </c>
      <c r="AO20" s="136">
        <v>10559.4</v>
      </c>
      <c r="AP20" s="136">
        <v>10395.5</v>
      </c>
      <c r="AQ20" s="136">
        <v>10248.9</v>
      </c>
      <c r="AR20" s="136">
        <v>8343.4</v>
      </c>
      <c r="AS20" s="136">
        <v>8427</v>
      </c>
      <c r="AT20" s="136">
        <v>8277.2000000000007</v>
      </c>
      <c r="AU20" s="136">
        <v>8509.4</v>
      </c>
      <c r="AV20" s="136">
        <v>8697</v>
      </c>
      <c r="AW20" s="136">
        <v>8522.7000000000007</v>
      </c>
      <c r="AX20" s="136">
        <v>11931</v>
      </c>
      <c r="AY20" s="136">
        <v>13033.9</v>
      </c>
      <c r="AZ20" s="136">
        <v>9608.7000000000007</v>
      </c>
      <c r="BA20" s="136">
        <v>11530.7</v>
      </c>
      <c r="BB20" s="136">
        <v>0</v>
      </c>
      <c r="BC20" s="136">
        <v>0</v>
      </c>
      <c r="BD20" s="136">
        <v>9402</v>
      </c>
      <c r="BE20" s="136">
        <v>11317.8</v>
      </c>
      <c r="BF20" s="136">
        <v>10829.4</v>
      </c>
      <c r="BG20" s="136">
        <v>12147</v>
      </c>
      <c r="BH20" s="136">
        <v>7432.8</v>
      </c>
      <c r="BI20" s="136">
        <v>4576</v>
      </c>
      <c r="BJ20" s="136">
        <v>6828.1</v>
      </c>
      <c r="BK20" s="136">
        <v>5047</v>
      </c>
      <c r="BL20" s="136">
        <v>7137.8</v>
      </c>
      <c r="BM20" s="136">
        <v>7103.2</v>
      </c>
      <c r="BN20" s="136">
        <v>6987</v>
      </c>
      <c r="BO20" s="136">
        <v>4235</v>
      </c>
      <c r="BP20" s="136">
        <v>5722</v>
      </c>
      <c r="BQ20" s="136">
        <v>3379</v>
      </c>
      <c r="BR20" s="136">
        <v>0</v>
      </c>
      <c r="BS20" s="136">
        <v>0</v>
      </c>
      <c r="BT20" s="136">
        <v>1848</v>
      </c>
      <c r="BU20" s="136">
        <v>863</v>
      </c>
      <c r="BV20" s="136"/>
      <c r="BW20" s="136"/>
      <c r="BX20" s="136"/>
      <c r="BY20" s="136"/>
      <c r="BZ20" s="136">
        <v>1353</v>
      </c>
      <c r="CA20" s="136">
        <v>1140</v>
      </c>
      <c r="CB20" s="136">
        <v>4745</v>
      </c>
      <c r="CC20" s="136">
        <v>7325</v>
      </c>
      <c r="CD20" s="59">
        <v>7.2977119500000018</v>
      </c>
      <c r="CE20" s="59"/>
      <c r="CF20" s="195">
        <v>7.1595291833333459</v>
      </c>
      <c r="CG20" s="195"/>
      <c r="CH20" s="195">
        <v>0.93395558333333362</v>
      </c>
      <c r="CI20" s="195"/>
      <c r="CJ20" s="59">
        <v>1.3927207166666655</v>
      </c>
      <c r="CK20" s="59"/>
      <c r="CL20" s="195">
        <v>31.349423076923117</v>
      </c>
      <c r="CM20" s="195"/>
      <c r="CN20" s="195">
        <v>44.587847692307705</v>
      </c>
      <c r="CO20" s="195"/>
      <c r="CP20" s="195">
        <v>38.07503846153849</v>
      </c>
      <c r="CQ20" s="195"/>
      <c r="CR20" s="59">
        <v>0</v>
      </c>
      <c r="CS20" s="59"/>
      <c r="CT20" s="195">
        <v>1.2587630769230778</v>
      </c>
      <c r="CU20" s="195"/>
      <c r="CV20" s="195">
        <v>2.5920000000000001</v>
      </c>
      <c r="CW20" s="247"/>
      <c r="CX20" s="193">
        <f>IFERROR(AVERAGEIF(RD[[#This Row],[IS1POA1 (KWh/m2)]:[IS7POA2 (KWh/m2)]],"&lt;&gt;0",RD[[#This Row],[IS1POA1 (KWh/m2)]:[IS7POA2 (KWh/m2)]]),"")</f>
        <v>7.2977119500000018</v>
      </c>
      <c r="CY20" s="193">
        <f>IFERROR(AVERAGEIF(RD[[#This Row],[IS1GHI1 (KWh/m2)]:[IS7GHI2 (KWh/m2)]],"&lt;&gt;0",RD[[#This Row],[IS1GHI1 (KWh/m2)]:[IS7GHI2 (KWh/m2)]]),"")</f>
        <v>7.1595291833333459</v>
      </c>
      <c r="CZ20" s="193">
        <f>IFERROR(AVERAGEIF(RD[[#This Row],[IS1POA_BS1 (KWh/m2)]:[IS7POA_BS2 (KWh/m2)]],"&lt;&gt;0",RD[[#This Row],[IS1POA_BS1 (KWh/m2)]:[IS7POA_BS2 (KWh/m2)]]),"")</f>
        <v>0.93395558333333362</v>
      </c>
      <c r="DA20" s="193">
        <f>IFERROR(AVERAGEIF(RD[[#This Row],[IS1GHI_BS1 (KWh/m2)]:[IS1GHI_BS1 (KWh/m2)2]],"&lt;&gt;0",RD[[#This Row],[IS1GHI_BS1 (KWh/m2)]:[IS1GHI_BS1 (KWh/m2)2]]),"")</f>
        <v>1.3927207166666655</v>
      </c>
      <c r="DB20" s="193">
        <f>IFERROR(AVERAGEIF(RD[[#This Row],[IS1AT1 (°C)]:[IS7AT2 (°C)]],"&lt;&gt;0",RD[[#This Row],[IS1AT1 (°C)]:[IS7AT2 (°C)]]),"")</f>
        <v>31.349423076923117</v>
      </c>
      <c r="DC20" s="193">
        <f>IFERROR(AVERAGEIF(RD[[#This Row],[IS1MT1 (°C)]:[IS7MT2 (°C)]],"&lt;&gt;0",RD[[#This Row],[IS1MT1 (°C)]:[IS7MT2 (°C)]]),"")</f>
        <v>44.587847692307705</v>
      </c>
      <c r="DD20" s="193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193">
        <f>IFERROR(AVERAGEIF(RD[[#This Row],[WS_Solar1_Avg (m/s)]:[IS7_WS_Solar1_Avg (m/s)]],"&lt;&gt;0",RD[[#This Row],[WS_Solar1_Avg (m/s)]:[IS7_WS_Solar1_Avg (m/s)]]),"")</f>
        <v>1.2587630769230778</v>
      </c>
      <c r="DG20" s="193">
        <f>IFERROR(AVERAGEIF(RD[[#This Row],[WS_Solar1_Max (m/s)]:[IS7_WS_Solar1_Max (m/s)]],"&lt;&gt;0",RD[[#This Row],[WS_Solar1_Max (m/s)]:[IS7_WS_Solar1_Max (m/s)]]),"")</f>
        <v>2.5920000000000001</v>
      </c>
      <c r="DH20" s="193">
        <f>SUM(RD[[#This Row],[IS1Inv1M1]:[IS4Inv4M2]])</f>
        <v>284845</v>
      </c>
      <c r="DI20" s="194">
        <f>SUM(RD[[#This Row],[IS7Inv1M1]]+RD[[#This Row],[IS7Inv2M1]])</f>
        <v>16770.400000000001</v>
      </c>
      <c r="DJ20" s="193">
        <f>SUM(RD[[#This Row],[IS5Inv1M1]:[IS5Inv2M2]])</f>
        <v>41423.300000000003</v>
      </c>
      <c r="DK20" s="193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75">
        <f>SUM(RD[[#This Row],[IS12Inv1M1]:[IS12Inv1M4]])</f>
        <v>20323</v>
      </c>
      <c r="DO20" s="275">
        <f>SUM(RD[[#This Row],[IS13Inv1M1]:[IS13Inv2M2]])</f>
        <v>2711</v>
      </c>
      <c r="DP20" s="193">
        <f>SUM(RD[[#This Row],[O2R15]:[O2R26]])</f>
        <v>584026.60000000009</v>
      </c>
      <c r="DQ20" s="158">
        <v>36349.800000000003</v>
      </c>
      <c r="DR20" s="162">
        <v>200.6</v>
      </c>
      <c r="DS20" s="158">
        <v>31158.400000000001</v>
      </c>
      <c r="DT20" s="158">
        <v>213.2</v>
      </c>
      <c r="DU20" s="162">
        <v>35730.400000000001</v>
      </c>
      <c r="DV20" s="162">
        <v>382.5</v>
      </c>
      <c r="DW20" s="158">
        <v>4225.3</v>
      </c>
      <c r="DX20" s="162">
        <v>17.8</v>
      </c>
      <c r="DY20" s="162"/>
      <c r="DZ20" s="162"/>
      <c r="EA20" s="134">
        <v>86.66</v>
      </c>
      <c r="EB20" s="230">
        <v>108254601</v>
      </c>
      <c r="EC20" s="229">
        <v>862512.89599999995</v>
      </c>
      <c r="ED20" s="230">
        <v>1030</v>
      </c>
      <c r="EE20" s="230">
        <v>102625</v>
      </c>
      <c r="EF20" s="158">
        <v>150181.4</v>
      </c>
      <c r="EG20" s="158">
        <v>1705.5</v>
      </c>
      <c r="EH20" s="140">
        <f>IF((RD[[#This Row],[33 kV_F3_Ex
Incomer1]]-DQ19)*1000&lt;0,0,(RD[[#This Row],[33 kV_F3_Ex
Incomer1]]-DQ19)*1000)</f>
        <v>144800.00000000291</v>
      </c>
      <c r="EI20" s="140">
        <f>IF((RD[[#This Row],[34 kV_F3_Im
Incomer1]]-DR19)*1000&lt;0,0,(RD[[#This Row],[34 kV_F3_Im
Incomer1]]-DR19)*1000)</f>
        <v>500</v>
      </c>
      <c r="EJ20" s="140">
        <f>IF((RD[[#This Row],[33 kV_F4_Ex
Incomer2]]-DS19)*1000&lt;0,0,(RD[[#This Row],[33 kV_F4_Ex
Incomer2]]-DS19)*1000)</f>
        <v>134700.00000000073</v>
      </c>
      <c r="EK20" s="140">
        <f>IF((RD[[#This Row],[34 kV_F4_Im
Incomer2]]-DT19)*1000&lt;0,0,(RD[[#This Row],[34 kV_F4_Im
Incomer2]]-DT19)*1000)</f>
        <v>399.99999999997726</v>
      </c>
      <c r="EL20" s="140">
        <f>IF((RD[[#This Row],[33 kV_F5_Ex
Incomer3]]-DU19)*1000&lt;0,0,(RD[[#This Row],[33 kV_F5_Ex
Incomer3]]-DU19)*1000)</f>
        <v>176900.00000000146</v>
      </c>
      <c r="EM20" s="140">
        <f>IF((RD[[#This Row],[34 kV_F5_Im
Incomer3]]-DV19)*1000&lt;0,0,(RD[[#This Row],[34 kV_F5_Im
Incomer3]]-DV19)*1000)</f>
        <v>800.00000000001137</v>
      </c>
      <c r="EN20" s="140">
        <f>IF((RD[[#This Row],[33 kV_F6_Ex
Incomer4]]-DW19)*1000&lt;0,0,(RD[[#This Row],[33 kV_F6_Ex
Incomer4]]-DW19)*1000)</f>
        <v>118600.00000000036</v>
      </c>
      <c r="EO20" s="140">
        <f>IF((RD[[#This Row],[33 kV_F6_Im
Incomer4]]-DX19)*1000&lt;0,0,(RD[[#This Row],[33 kV_F6_Im
Incomer4]]-DX19)*1000)</f>
        <v>600.00000000000136</v>
      </c>
      <c r="EP20" s="140">
        <f>IF((RD[[#This Row],[33 kV_F7_Ex
Incomer5]]-DY19)*1000&lt;0,0,(RD[[#This Row],[33 kV_F7_Ex
Incomer5]]-DY19)*1000)</f>
        <v>0</v>
      </c>
      <c r="EQ20" s="140">
        <f>IF((RD[[#This Row],[33 kV_F7_Im
Incomer5]]-DZ19)*1000&lt;0,0,(RD[[#This Row],[33 kV_F7_Im
Incomer5]]-DZ19)*1000)</f>
        <v>0</v>
      </c>
      <c r="ER20" s="140">
        <f>IF((RD[[#This Row],[33 kV_Aux Trafo]]-EA19)*1000&lt;0,0,(RD[[#This Row],[33 kV_Aux Trafo]]-EA19)*1000)</f>
        <v>289.99999999999204</v>
      </c>
      <c r="ES20" s="152">
        <f>IF((RD[[#This Row],[33kV_OG1_Ex_]]-EB19)*1&lt;0,0,(RD[[#This Row],[33kV_OG1_Ex_]]-EB19)*1)</f>
        <v>575505</v>
      </c>
      <c r="ET20" s="140">
        <f>IF((RD[[#This Row],[33kV_OG1_Im]]-EC19)*1&lt;0,0,(RD[[#This Row],[33kV_OG1_Im]]-EC19)*1)</f>
        <v>2370.1119999999646</v>
      </c>
      <c r="EU20" s="140">
        <f>IF((RD[[#This Row],[132kV_TX1_EX]]-ED19)*720&lt;=0,"",(RD[[#This Row],[132kV_TX1_EX]]-ED19)*720)</f>
        <v>2160</v>
      </c>
      <c r="EV20" s="140">
        <f>IF((RD[[#This Row],[132 kV_Tx1_Im]]-EE19)*720&lt;=0,0,(RD[[#This Row],[132 kV_Tx1_Im]]-EE19)*720)</f>
        <v>412560</v>
      </c>
      <c r="EW20" s="140">
        <f>IF((RD[[#This Row],[132kV_L1_Ex]]-EF19)*720&lt;=0,0,(RD[[#This Row],[132kV_L1_Ex]]-EF19)*720)</f>
        <v>573552.00000000419</v>
      </c>
      <c r="EX20" s="140">
        <f>IF((RD[[#This Row],[132kV_L1_Im]]-EG19)*720&lt;=0,0,(RD[[#This Row],[132kV_L1_Im]]-EG19)*720)</f>
        <v>3024.0000000000327</v>
      </c>
      <c r="EY20" s="231">
        <f>IFERROR(RD[[#This Row],[33kV_OG1_Ex (MWh)]]+RD[[#This Row],[33kV_OG1_Im (MWh)]],"")</f>
        <v>577875.11199999996</v>
      </c>
      <c r="EZ20" s="142">
        <f>RD[[#This Row],[33kV_OG1_Ex (MWh)]]-RD[[#This Row],[33kV_OG1_Im (MWh)]]</f>
        <v>573134.88800000004</v>
      </c>
      <c r="FA20" s="142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32">
        <f>IFERROR((RD[[#This Row],[Sunset Time (POA&lt;20 W/m2)]]-RD[[#This Row],[Sunrise Time (POA&gt;20 W/m2)]])*24,0)</f>
        <v>11.983333333333334</v>
      </c>
      <c r="FD20" s="233">
        <v>102</v>
      </c>
      <c r="FE20" t="s">
        <v>271</v>
      </c>
      <c r="FF20"/>
      <c r="FG20"/>
    </row>
    <row r="21" spans="1:163">
      <c r="A21" s="130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46">
        <v>0.26944444444444443</v>
      </c>
      <c r="G21" s="156">
        <v>0.76597222222222228</v>
      </c>
      <c r="H21" s="121">
        <v>8944.4</v>
      </c>
      <c r="I21" s="121">
        <v>8953.2000000000007</v>
      </c>
      <c r="J21" s="121">
        <v>8519.7999999999993</v>
      </c>
      <c r="K21" s="121">
        <v>8645.4</v>
      </c>
      <c r="L21" s="121">
        <v>8862.7000000000007</v>
      </c>
      <c r="M21" s="121">
        <v>8882</v>
      </c>
      <c r="N21" s="121">
        <v>8600.9</v>
      </c>
      <c r="O21" s="121">
        <v>9250.9</v>
      </c>
      <c r="P21" s="121">
        <v>8658</v>
      </c>
      <c r="Q21" s="121">
        <v>8626.9</v>
      </c>
      <c r="R21" s="121">
        <v>8821.2000000000007</v>
      </c>
      <c r="S21" s="121">
        <v>8811.6</v>
      </c>
      <c r="T21" s="121">
        <v>8969.7999999999993</v>
      </c>
      <c r="U21" s="121">
        <v>8836.2999999999993</v>
      </c>
      <c r="V21" s="121">
        <v>8921.2000000000007</v>
      </c>
      <c r="W21" s="121">
        <v>8781.2000000000007</v>
      </c>
      <c r="X21" s="192">
        <v>12515.2</v>
      </c>
      <c r="Y21" s="192">
        <v>13502.4</v>
      </c>
      <c r="Z21" s="192">
        <v>12340.4</v>
      </c>
      <c r="AA21" s="192">
        <v>12730.8</v>
      </c>
      <c r="AB21" s="192">
        <v>13412.3</v>
      </c>
      <c r="AC21" s="192">
        <v>8457.2000000000007</v>
      </c>
      <c r="AD21" s="192">
        <v>12718.7</v>
      </c>
      <c r="AE21" s="192">
        <v>12802.2</v>
      </c>
      <c r="AF21" s="192">
        <v>12351</v>
      </c>
      <c r="AG21" s="192">
        <v>12545</v>
      </c>
      <c r="AH21" s="192">
        <v>12662.9</v>
      </c>
      <c r="AI21" s="192">
        <v>12751.7</v>
      </c>
      <c r="AJ21" s="136">
        <v>10671.4</v>
      </c>
      <c r="AK21" s="136">
        <v>10932.7</v>
      </c>
      <c r="AL21" s="136">
        <v>10652.3</v>
      </c>
      <c r="AM21" s="136">
        <v>10727.4</v>
      </c>
      <c r="AN21" s="136">
        <v>10658.9</v>
      </c>
      <c r="AO21" s="136">
        <v>10907.3</v>
      </c>
      <c r="AP21" s="136">
        <v>10813.9</v>
      </c>
      <c r="AQ21" s="136">
        <v>10611.9</v>
      </c>
      <c r="AR21" s="136">
        <v>8465.1</v>
      </c>
      <c r="AS21" s="136">
        <v>8622.7000000000007</v>
      </c>
      <c r="AT21" s="136">
        <v>8495</v>
      </c>
      <c r="AU21" s="136">
        <v>8637.1</v>
      </c>
      <c r="AV21" s="136">
        <v>8850</v>
      </c>
      <c r="AW21" s="136">
        <v>8606.6</v>
      </c>
      <c r="AX21" s="136">
        <v>12324</v>
      </c>
      <c r="AY21" s="136">
        <v>13381</v>
      </c>
      <c r="AZ21" s="136">
        <v>9971</v>
      </c>
      <c r="BA21" s="136">
        <v>12000</v>
      </c>
      <c r="BB21" s="136">
        <v>0</v>
      </c>
      <c r="BC21" s="136">
        <v>0</v>
      </c>
      <c r="BD21" s="136">
        <v>9982</v>
      </c>
      <c r="BE21" s="136">
        <v>12023</v>
      </c>
      <c r="BF21" s="136">
        <v>12684</v>
      </c>
      <c r="BG21" s="136">
        <v>12797</v>
      </c>
      <c r="BH21" s="136">
        <v>7849</v>
      </c>
      <c r="BI21" s="136">
        <v>4821</v>
      </c>
      <c r="BJ21" s="136">
        <v>7552</v>
      </c>
      <c r="BK21" s="136">
        <v>5105</v>
      </c>
      <c r="BL21" s="136">
        <v>7459</v>
      </c>
      <c r="BM21" s="136">
        <v>7421</v>
      </c>
      <c r="BN21" s="136">
        <v>7321</v>
      </c>
      <c r="BO21" s="136">
        <v>4703</v>
      </c>
      <c r="BP21" s="136">
        <v>5990</v>
      </c>
      <c r="BQ21" s="136">
        <v>3531</v>
      </c>
      <c r="BR21" s="136">
        <v>0</v>
      </c>
      <c r="BS21" s="136">
        <v>0</v>
      </c>
      <c r="BT21" s="136">
        <v>1914</v>
      </c>
      <c r="BU21" s="136">
        <v>887</v>
      </c>
      <c r="BV21" s="136"/>
      <c r="BW21" s="136"/>
      <c r="BX21" s="136"/>
      <c r="BY21" s="136"/>
      <c r="BZ21" s="136">
        <v>1371</v>
      </c>
      <c r="CA21" s="136">
        <v>445</v>
      </c>
      <c r="CB21" s="136">
        <v>4843</v>
      </c>
      <c r="CC21" s="136">
        <v>7466</v>
      </c>
      <c r="CD21" s="59">
        <v>7.251993583333336</v>
      </c>
      <c r="CE21" s="59"/>
      <c r="CF21" s="195">
        <v>7.1232418333333234</v>
      </c>
      <c r="CG21" s="195"/>
      <c r="CH21" s="195">
        <v>0.94167478333333277</v>
      </c>
      <c r="CI21" s="195"/>
      <c r="CJ21" s="59">
        <v>1.3867391333333356</v>
      </c>
      <c r="CK21" s="59"/>
      <c r="CL21" s="195">
        <v>32.894079295154185</v>
      </c>
      <c r="CM21" s="195"/>
      <c r="CN21" s="195">
        <v>47.343733039647553</v>
      </c>
      <c r="CO21" s="195"/>
      <c r="CP21" s="195">
        <v>26.798374449339192</v>
      </c>
      <c r="CQ21" s="195"/>
      <c r="CR21" s="59">
        <v>0</v>
      </c>
      <c r="CS21" s="59"/>
      <c r="CT21" s="195">
        <v>1.1613374449339202</v>
      </c>
      <c r="CU21" s="195"/>
      <c r="CV21" s="195">
        <v>2.4</v>
      </c>
      <c r="CW21" s="247"/>
      <c r="CX21" s="193">
        <f>IFERROR(AVERAGEIF(RD[[#This Row],[IS1POA1 (KWh/m2)]:[IS7POA2 (KWh/m2)]],"&lt;&gt;0",RD[[#This Row],[IS1POA1 (KWh/m2)]:[IS7POA2 (KWh/m2)]]),"")</f>
        <v>7.251993583333336</v>
      </c>
      <c r="CY21" s="193">
        <f>IFERROR(AVERAGEIF(RD[[#This Row],[IS1GHI1 (KWh/m2)]:[IS7GHI2 (KWh/m2)]],"&lt;&gt;0",RD[[#This Row],[IS1GHI1 (KWh/m2)]:[IS7GHI2 (KWh/m2)]]),"")</f>
        <v>7.1232418333333234</v>
      </c>
      <c r="CZ21" s="193">
        <f>IFERROR(AVERAGEIF(RD[[#This Row],[IS1POA_BS1 (KWh/m2)]:[IS7POA_BS2 (KWh/m2)]],"&lt;&gt;0",RD[[#This Row],[IS1POA_BS1 (KWh/m2)]:[IS7POA_BS2 (KWh/m2)]]),"")</f>
        <v>0.94167478333333277</v>
      </c>
      <c r="DA21" s="193">
        <f>IFERROR(AVERAGEIF(RD[[#This Row],[IS1GHI_BS1 (KWh/m2)]:[IS1GHI_BS1 (KWh/m2)2]],"&lt;&gt;0",RD[[#This Row],[IS1GHI_BS1 (KWh/m2)]:[IS1GHI_BS1 (KWh/m2)2]]),"")</f>
        <v>1.3867391333333356</v>
      </c>
      <c r="DB21" s="193">
        <f>IFERROR(AVERAGEIF(RD[[#This Row],[IS1AT1 (°C)]:[IS7AT2 (°C)]],"&lt;&gt;0",RD[[#This Row],[IS1AT1 (°C)]:[IS7AT2 (°C)]]),"")</f>
        <v>32.894079295154185</v>
      </c>
      <c r="DC21" s="193">
        <f>IFERROR(AVERAGEIF(RD[[#This Row],[IS1MT1 (°C)]:[IS7MT2 (°C)]],"&lt;&gt;0",RD[[#This Row],[IS1MT1 (°C)]:[IS7MT2 (°C)]]),"")</f>
        <v>47.343733039647553</v>
      </c>
      <c r="DD21" s="193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193">
        <f>IFERROR(AVERAGEIF(RD[[#This Row],[WS_Solar1_Avg (m/s)]:[IS7_WS_Solar1_Avg (m/s)]],"&lt;&gt;0",RD[[#This Row],[WS_Solar1_Avg (m/s)]:[IS7_WS_Solar1_Avg (m/s)]]),"")</f>
        <v>1.1613374449339202</v>
      </c>
      <c r="DG21" s="193">
        <f>IFERROR(AVERAGEIF(RD[[#This Row],[WS_Solar1_Max (m/s)]:[IS7_WS_Solar1_Max (m/s)]],"&lt;&gt;0",RD[[#This Row],[WS_Solar1_Max (m/s)]:[IS7_WS_Solar1_Max (m/s)]]),"")</f>
        <v>2.4</v>
      </c>
      <c r="DH21" s="193">
        <f>SUM(RD[[#This Row],[IS1Inv1M1]:[IS4Inv4M2]])</f>
        <v>289875.3000000001</v>
      </c>
      <c r="DI21" s="194">
        <f>SUM(RD[[#This Row],[IS7Inv1M1]]+RD[[#This Row],[IS7Inv2M1]])</f>
        <v>17087.800000000003</v>
      </c>
      <c r="DJ21" s="193">
        <f>SUM(RD[[#This Row],[IS5Inv1M1]:[IS5Inv2M2]])</f>
        <v>42983.799999999996</v>
      </c>
      <c r="DK21" s="193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75">
        <f>SUM(RD[[#This Row],[IS12Inv1M1]:[IS12Inv1M4]])</f>
        <v>21545</v>
      </c>
      <c r="DO21" s="275">
        <f>SUM(RD[[#This Row],[IS13Inv1M1]:[IS13Inv2M2]])</f>
        <v>2801</v>
      </c>
      <c r="DP21" s="193">
        <f>SUM(RD[[#This Row],[O2R15]:[O2R26]])</f>
        <v>601367.60000000009</v>
      </c>
      <c r="DQ21" s="158">
        <v>36497.1</v>
      </c>
      <c r="DR21" s="162">
        <v>200.9</v>
      </c>
      <c r="DS21" s="158">
        <v>31295.4</v>
      </c>
      <c r="DT21" s="158">
        <v>213.5</v>
      </c>
      <c r="DU21" s="162">
        <v>35912.5</v>
      </c>
      <c r="DV21" s="162">
        <v>383</v>
      </c>
      <c r="DW21" s="158">
        <v>4348.3</v>
      </c>
      <c r="DX21" s="162">
        <v>18.2</v>
      </c>
      <c r="DY21" s="162"/>
      <c r="DZ21" s="162"/>
      <c r="EA21" s="134">
        <v>86.9</v>
      </c>
      <c r="EB21" s="230">
        <v>108845178</v>
      </c>
      <c r="EC21" s="229">
        <v>864107.45600000001</v>
      </c>
      <c r="ED21" s="230">
        <v>1032</v>
      </c>
      <c r="EE21" s="230">
        <v>103213</v>
      </c>
      <c r="EF21" s="158">
        <v>150998.79999999999</v>
      </c>
      <c r="EG21" s="158">
        <v>1708.3</v>
      </c>
      <c r="EH21" s="140">
        <f>IF((RD[[#This Row],[33 kV_F3_Ex
Incomer1]]-DQ20)*1000&lt;0,0,(RD[[#This Row],[33 kV_F3_Ex
Incomer1]]-DQ20)*1000)</f>
        <v>147299.99999999563</v>
      </c>
      <c r="EI21" s="140">
        <f>IF((RD[[#This Row],[34 kV_F3_Im
Incomer1]]-DR20)*1000&lt;0,0,(RD[[#This Row],[34 kV_F3_Im
Incomer1]]-DR20)*1000)</f>
        <v>300.00000000001137</v>
      </c>
      <c r="EJ21" s="140">
        <f>IF((RD[[#This Row],[33 kV_F4_Ex
Incomer2]]-DS20)*1000&lt;0,0,(RD[[#This Row],[33 kV_F4_Ex
Incomer2]]-DS20)*1000)</f>
        <v>137000</v>
      </c>
      <c r="EK21" s="140">
        <f>IF((RD[[#This Row],[34 kV_F4_Im
Incomer2]]-DT20)*1000&lt;0,0,(RD[[#This Row],[34 kV_F4_Im
Incomer2]]-DT20)*1000)</f>
        <v>300.00000000001137</v>
      </c>
      <c r="EL21" s="140">
        <f>IF((RD[[#This Row],[33 kV_F5_Ex
Incomer3]]-DU20)*1000&lt;0,0,(RD[[#This Row],[33 kV_F5_Ex
Incomer3]]-DU20)*1000)</f>
        <v>182099.99999999854</v>
      </c>
      <c r="EM21" s="140">
        <f>IF((RD[[#This Row],[34 kV_F5_Im
Incomer3]]-DV20)*1000&lt;0,0,(RD[[#This Row],[34 kV_F5_Im
Incomer3]]-DV20)*1000)</f>
        <v>500</v>
      </c>
      <c r="EN21" s="140">
        <f>IF((RD[[#This Row],[33 kV_F6_Ex
Incomer4]]-DW20)*1000&lt;0,0,(RD[[#This Row],[33 kV_F6_Ex
Incomer4]]-DW20)*1000)</f>
        <v>123000</v>
      </c>
      <c r="EO21" s="140">
        <f>IF((RD[[#This Row],[33 kV_F6_Im
Incomer4]]-DX20)*1000&lt;0,0,(RD[[#This Row],[33 kV_F6_Im
Incomer4]]-DX20)*1000)</f>
        <v>399.99999999999858</v>
      </c>
      <c r="EP21" s="140">
        <f>IF((RD[[#This Row],[33 kV_F7_Ex
Incomer5]]-DY20)*1000&lt;0,0,(RD[[#This Row],[33 kV_F7_Ex
Incomer5]]-DY20)*1000)</f>
        <v>0</v>
      </c>
      <c r="EQ21" s="140">
        <f>IF((RD[[#This Row],[33 kV_F7_Im
Incomer5]]-DZ20)*1000&lt;0,0,(RD[[#This Row],[33 kV_F7_Im
Incomer5]]-DZ20)*1000)</f>
        <v>0</v>
      </c>
      <c r="ER21" s="140">
        <f>IF((RD[[#This Row],[33 kV_Aux Trafo]]-EA20)*1000&lt;0,0,(RD[[#This Row],[33 kV_Aux Trafo]]-EA20)*1000)</f>
        <v>240.00000000000909</v>
      </c>
      <c r="ES21" s="152">
        <f>IF((RD[[#This Row],[33kV_OG1_Ex_]]-EB20)*1&lt;0,0,(RD[[#This Row],[33kV_OG1_Ex_]]-EB20)*1)</f>
        <v>590577</v>
      </c>
      <c r="ET21" s="140">
        <f>IF((RD[[#This Row],[33kV_OG1_Im]]-EC20)*1&lt;0,0,(RD[[#This Row],[33kV_OG1_Im]]-EC20)*1)</f>
        <v>1594.5600000000559</v>
      </c>
      <c r="EU21" s="140">
        <f>IF((RD[[#This Row],[132kV_TX1_EX]]-ED20)*720&lt;=0,"",(RD[[#This Row],[132kV_TX1_EX]]-ED20)*720)</f>
        <v>1440</v>
      </c>
      <c r="EV21" s="140">
        <f>IF((RD[[#This Row],[132 kV_Tx1_Im]]-EE20)*720&lt;=0,0,(RD[[#This Row],[132 kV_Tx1_Im]]-EE20)*720)</f>
        <v>423360</v>
      </c>
      <c r="EW21" s="140">
        <f>IF((RD[[#This Row],[132kV_L1_Ex]]-EF20)*720&lt;=0,0,(RD[[#This Row],[132kV_L1_Ex]]-EF20)*720)</f>
        <v>588527.99999999581</v>
      </c>
      <c r="EX21" s="140">
        <f>IF((RD[[#This Row],[132kV_L1_Im]]-EG20)*720&lt;=0,0,(RD[[#This Row],[132kV_L1_Im]]-EG20)*720)</f>
        <v>2015.9999999999673</v>
      </c>
      <c r="EY21" s="231">
        <f>IFERROR(RD[[#This Row],[33kV_OG1_Ex (MWh)]]+RD[[#This Row],[33kV_OG1_Im (MWh)]],"")</f>
        <v>592171.56000000006</v>
      </c>
      <c r="EZ21" s="142">
        <f>RD[[#This Row],[33kV_OG1_Ex (MWh)]]-RD[[#This Row],[33kV_OG1_Im (MWh)]]</f>
        <v>588982.43999999994</v>
      </c>
      <c r="FA21" s="142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32">
        <f>IFERROR((RD[[#This Row],[Sunset Time (POA&lt;20 W/m2)]]-RD[[#This Row],[Sunrise Time (POA&gt;20 W/m2)]])*24,0)</f>
        <v>11.916666666666668</v>
      </c>
      <c r="FD21" s="233">
        <v>105</v>
      </c>
      <c r="FE21" t="s">
        <v>272</v>
      </c>
      <c r="FF21"/>
      <c r="FG21"/>
    </row>
    <row r="22" spans="1:163">
      <c r="A22" s="130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46">
        <v>0.26666666666666666</v>
      </c>
      <c r="G22" s="156">
        <v>0.76666666666666672</v>
      </c>
      <c r="H22" s="121">
        <v>8989.7999999999993</v>
      </c>
      <c r="I22" s="121">
        <v>8950.7999999999993</v>
      </c>
      <c r="J22" s="121">
        <v>8463</v>
      </c>
      <c r="K22" s="121">
        <v>8594.1</v>
      </c>
      <c r="L22" s="121">
        <v>8819.2000000000007</v>
      </c>
      <c r="M22" s="121">
        <v>8872</v>
      </c>
      <c r="N22" s="121">
        <v>8543.7999999999993</v>
      </c>
      <c r="O22" s="121">
        <v>9320.2999999999993</v>
      </c>
      <c r="P22" s="121">
        <v>8769.7999999999993</v>
      </c>
      <c r="Q22" s="121">
        <v>8714.2999999999993</v>
      </c>
      <c r="R22" s="121">
        <v>8969.4</v>
      </c>
      <c r="S22" s="121">
        <v>8932.6</v>
      </c>
      <c r="T22" s="121">
        <v>9138.9</v>
      </c>
      <c r="U22" s="121">
        <v>8967.5</v>
      </c>
      <c r="V22" s="121">
        <v>9079.2000000000007</v>
      </c>
      <c r="W22" s="121">
        <v>8879.4</v>
      </c>
      <c r="X22" s="192">
        <v>12476.7</v>
      </c>
      <c r="Y22" s="192">
        <v>13577.3</v>
      </c>
      <c r="Z22" s="192">
        <v>12217.3</v>
      </c>
      <c r="AA22" s="192">
        <v>12723.1</v>
      </c>
      <c r="AB22" s="192">
        <v>13459.1</v>
      </c>
      <c r="AC22" s="192">
        <v>8410.1</v>
      </c>
      <c r="AD22" s="192">
        <v>12679.1</v>
      </c>
      <c r="AE22" s="192">
        <v>12862.9</v>
      </c>
      <c r="AF22" s="192">
        <v>12217.6</v>
      </c>
      <c r="AG22" s="192">
        <v>12573</v>
      </c>
      <c r="AH22" s="192">
        <v>12586.7</v>
      </c>
      <c r="AI22" s="192">
        <v>12694.2</v>
      </c>
      <c r="AJ22" s="136">
        <v>10444.4</v>
      </c>
      <c r="AK22" s="136">
        <v>10727.5</v>
      </c>
      <c r="AL22" s="136">
        <v>10518</v>
      </c>
      <c r="AM22" s="136">
        <v>10569</v>
      </c>
      <c r="AN22" s="136">
        <v>10506</v>
      </c>
      <c r="AO22" s="136">
        <v>10841.9</v>
      </c>
      <c r="AP22" s="136">
        <v>10694.3</v>
      </c>
      <c r="AQ22" s="136">
        <v>10461.4</v>
      </c>
      <c r="AR22" s="136">
        <v>8463.4</v>
      </c>
      <c r="AS22" s="136">
        <v>8520.2999999999993</v>
      </c>
      <c r="AT22" s="136">
        <v>8476.1</v>
      </c>
      <c r="AU22" s="136">
        <v>8705</v>
      </c>
      <c r="AV22" s="136">
        <v>8858.4</v>
      </c>
      <c r="AW22" s="136">
        <v>8617.2999999999993</v>
      </c>
      <c r="AX22" s="136">
        <v>12058</v>
      </c>
      <c r="AY22" s="136">
        <v>13324</v>
      </c>
      <c r="AZ22" s="136">
        <v>9858</v>
      </c>
      <c r="BA22" s="136">
        <v>11859</v>
      </c>
      <c r="BB22" s="136">
        <v>0</v>
      </c>
      <c r="BC22" s="136">
        <v>0</v>
      </c>
      <c r="BD22" s="136">
        <v>8825.7000000000007</v>
      </c>
      <c r="BE22" s="136">
        <v>10710</v>
      </c>
      <c r="BF22" s="136">
        <v>11471.9</v>
      </c>
      <c r="BG22" s="136">
        <v>11386.7</v>
      </c>
      <c r="BH22" s="136">
        <v>6970.6</v>
      </c>
      <c r="BI22" s="136">
        <v>4258</v>
      </c>
      <c r="BJ22" s="136">
        <v>6777.5</v>
      </c>
      <c r="BK22" s="136">
        <v>3794</v>
      </c>
      <c r="BL22" s="136">
        <v>6577.7</v>
      </c>
      <c r="BM22" s="136">
        <v>6335</v>
      </c>
      <c r="BN22" s="136">
        <v>6482</v>
      </c>
      <c r="BO22" s="136">
        <v>4417</v>
      </c>
      <c r="BP22" s="136">
        <v>5296</v>
      </c>
      <c r="BQ22" s="136">
        <v>3127</v>
      </c>
      <c r="BR22" s="136">
        <v>0</v>
      </c>
      <c r="BS22" s="136">
        <v>0</v>
      </c>
      <c r="BT22" s="136">
        <v>1682</v>
      </c>
      <c r="BU22" s="136">
        <v>782</v>
      </c>
      <c r="BV22" s="136"/>
      <c r="BW22" s="136"/>
      <c r="BX22" s="136"/>
      <c r="BY22" s="136"/>
      <c r="BZ22" s="136">
        <v>1255</v>
      </c>
      <c r="CA22" s="136">
        <v>1074</v>
      </c>
      <c r="CB22" s="136">
        <v>4414</v>
      </c>
      <c r="CC22" s="136">
        <v>6767</v>
      </c>
      <c r="CD22" s="59">
        <v>7.1474630166666611</v>
      </c>
      <c r="CE22" s="59"/>
      <c r="CF22" s="195">
        <v>7.0363546166666593</v>
      </c>
      <c r="CG22" s="195"/>
      <c r="CH22" s="195">
        <v>0.92568135000000074</v>
      </c>
      <c r="CI22" s="195"/>
      <c r="CJ22" s="59">
        <v>1.3790044999999982</v>
      </c>
      <c r="CK22" s="59"/>
      <c r="CL22" s="195">
        <v>33.69563492063493</v>
      </c>
      <c r="CM22" s="195"/>
      <c r="CN22" s="195">
        <v>47.241304232804232</v>
      </c>
      <c r="CO22" s="195"/>
      <c r="CP22" s="195">
        <v>24.003271604938288</v>
      </c>
      <c r="CQ22" s="195"/>
      <c r="CR22" s="59">
        <v>0</v>
      </c>
      <c r="CS22" s="59"/>
      <c r="CT22" s="195">
        <v>1.3764973544973564</v>
      </c>
      <c r="CU22" s="195"/>
      <c r="CV22" s="195">
        <v>2.8740000000000001</v>
      </c>
      <c r="CW22" s="247"/>
      <c r="CX22" s="193">
        <f>IFERROR(AVERAGEIF(RD[[#This Row],[IS1POA1 (KWh/m2)]:[IS7POA2 (KWh/m2)]],"&lt;&gt;0",RD[[#This Row],[IS1POA1 (KWh/m2)]:[IS7POA2 (KWh/m2)]]),"")</f>
        <v>7.1474630166666611</v>
      </c>
      <c r="CY22" s="193">
        <f>IFERROR(AVERAGEIF(RD[[#This Row],[IS1GHI1 (KWh/m2)]:[IS7GHI2 (KWh/m2)]],"&lt;&gt;0",RD[[#This Row],[IS1GHI1 (KWh/m2)]:[IS7GHI2 (KWh/m2)]]),"")</f>
        <v>7.0363546166666593</v>
      </c>
      <c r="CZ22" s="193">
        <f>IFERROR(AVERAGEIF(RD[[#This Row],[IS1POA_BS1 (KWh/m2)]:[IS7POA_BS2 (KWh/m2)]],"&lt;&gt;0",RD[[#This Row],[IS1POA_BS1 (KWh/m2)]:[IS7POA_BS2 (KWh/m2)]]),"")</f>
        <v>0.92568135000000074</v>
      </c>
      <c r="DA22" s="193">
        <f>IFERROR(AVERAGEIF(RD[[#This Row],[IS1GHI_BS1 (KWh/m2)]:[IS1GHI_BS1 (KWh/m2)2]],"&lt;&gt;0",RD[[#This Row],[IS1GHI_BS1 (KWh/m2)]:[IS1GHI_BS1 (KWh/m2)2]]),"")</f>
        <v>1.3790044999999982</v>
      </c>
      <c r="DB22" s="193">
        <f>IFERROR(AVERAGEIF(RD[[#This Row],[IS1AT1 (°C)]:[IS7AT2 (°C)]],"&lt;&gt;0",RD[[#This Row],[IS1AT1 (°C)]:[IS7AT2 (°C)]]),"")</f>
        <v>33.69563492063493</v>
      </c>
      <c r="DC22" s="193">
        <f>IFERROR(AVERAGEIF(RD[[#This Row],[IS1MT1 (°C)]:[IS7MT2 (°C)]],"&lt;&gt;0",RD[[#This Row],[IS1MT1 (°C)]:[IS7MT2 (°C)]]),"")</f>
        <v>47.241304232804232</v>
      </c>
      <c r="DD22" s="193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193">
        <f>IFERROR(AVERAGEIF(RD[[#This Row],[WS_Solar1_Avg (m/s)]:[IS7_WS_Solar1_Avg (m/s)]],"&lt;&gt;0",RD[[#This Row],[WS_Solar1_Avg (m/s)]:[IS7_WS_Solar1_Avg (m/s)]]),"")</f>
        <v>1.3764973544973564</v>
      </c>
      <c r="DG22" s="193">
        <f>IFERROR(AVERAGEIF(RD[[#This Row],[WS_Solar1_Max (m/s)]:[IS7_WS_Solar1_Max (m/s)]],"&lt;&gt;0",RD[[#This Row],[WS_Solar1_Max (m/s)]:[IS7_WS_Solar1_Max (m/s)]]),"")</f>
        <v>2.8740000000000001</v>
      </c>
      <c r="DH22" s="193">
        <f>SUM(RD[[#This Row],[IS1Inv1M1]:[IS4Inv4M2]])</f>
        <v>290481.20000000007</v>
      </c>
      <c r="DI22" s="194">
        <f>SUM(RD[[#This Row],[IS7Inv1M1]]+RD[[#This Row],[IS7Inv2M1]])</f>
        <v>16983.699999999997</v>
      </c>
      <c r="DJ22" s="193">
        <f>SUM(RD[[#This Row],[IS5Inv1M1]:[IS5Inv2M2]])</f>
        <v>42258.9</v>
      </c>
      <c r="DK22" s="193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75">
        <f>SUM(RD[[#This Row],[IS12Inv1M1]:[IS12Inv1M4]])</f>
        <v>19322</v>
      </c>
      <c r="DO22" s="275">
        <f>SUM(RD[[#This Row],[IS13Inv1M1]:[IS13Inv2M2]])</f>
        <v>2464</v>
      </c>
      <c r="DP22" s="193">
        <f>SUM(RD[[#This Row],[O2R15]:[O2R26]])</f>
        <v>586386.30000000005</v>
      </c>
      <c r="DQ22" s="158">
        <v>36641.800000000003</v>
      </c>
      <c r="DR22" s="162">
        <v>201.3</v>
      </c>
      <c r="DS22" s="158">
        <v>31429.5</v>
      </c>
      <c r="DT22" s="158">
        <v>213.8</v>
      </c>
      <c r="DU22" s="162">
        <v>36090</v>
      </c>
      <c r="DV22" s="162">
        <v>383.7</v>
      </c>
      <c r="DW22" s="158">
        <v>4456.5</v>
      </c>
      <c r="DX22" s="162">
        <v>18.8</v>
      </c>
      <c r="DY22" s="162"/>
      <c r="DZ22" s="162"/>
      <c r="EA22" s="134">
        <v>87.17</v>
      </c>
      <c r="EB22" s="230">
        <v>109421699</v>
      </c>
      <c r="EC22" s="229">
        <v>866123.32799999998</v>
      </c>
      <c r="ED22" s="230">
        <v>1034</v>
      </c>
      <c r="EE22" s="230">
        <v>103787</v>
      </c>
      <c r="EF22" s="158">
        <v>151796.70000000001</v>
      </c>
      <c r="EG22" s="158">
        <v>1711.8</v>
      </c>
      <c r="EH22" s="140">
        <f>IF((RD[[#This Row],[33 kV_F3_Ex
Incomer1]]-DQ21)*1000&lt;0,0,(RD[[#This Row],[33 kV_F3_Ex
Incomer1]]-DQ21)*1000)</f>
        <v>144700.00000000437</v>
      </c>
      <c r="EI22" s="140">
        <f>IF((RD[[#This Row],[34 kV_F3_Im
Incomer1]]-DR21)*1000&lt;0,0,(RD[[#This Row],[34 kV_F3_Im
Incomer1]]-DR21)*1000)</f>
        <v>400.00000000000568</v>
      </c>
      <c r="EJ22" s="140">
        <f>IF((RD[[#This Row],[33 kV_F4_Ex
Incomer2]]-DS21)*1000&lt;0,0,(RD[[#This Row],[33 kV_F4_Ex
Incomer2]]-DS21)*1000)</f>
        <v>134099.99999999854</v>
      </c>
      <c r="EK22" s="140">
        <f>IF((RD[[#This Row],[34 kV_F4_Im
Incomer2]]-DT21)*1000&lt;0,0,(RD[[#This Row],[34 kV_F4_Im
Incomer2]]-DT21)*1000)</f>
        <v>300.00000000001137</v>
      </c>
      <c r="EL22" s="140">
        <f>IF((RD[[#This Row],[33 kV_F5_Ex
Incomer3]]-DU21)*1000&lt;0,0,(RD[[#This Row],[33 kV_F5_Ex
Incomer3]]-DU21)*1000)</f>
        <v>177500</v>
      </c>
      <c r="EM22" s="140">
        <f>IF((RD[[#This Row],[34 kV_F5_Im
Incomer3]]-DV21)*1000&lt;0,0,(RD[[#This Row],[34 kV_F5_Im
Incomer3]]-DV21)*1000)</f>
        <v>699.99999999998863</v>
      </c>
      <c r="EN22" s="140">
        <f>IF((RD[[#This Row],[33 kV_F6_Ex
Incomer4]]-DW21)*1000&lt;0,0,(RD[[#This Row],[33 kV_F6_Ex
Incomer4]]-DW21)*1000)</f>
        <v>108199.99999999983</v>
      </c>
      <c r="EO22" s="140">
        <f>IF((RD[[#This Row],[33 kV_F6_Im
Incomer4]]-DX21)*1000&lt;0,0,(RD[[#This Row],[33 kV_F6_Im
Incomer4]]-DX21)*1000)</f>
        <v>600.00000000000136</v>
      </c>
      <c r="EP22" s="140">
        <f>IF((RD[[#This Row],[33 kV_F7_Ex
Incomer5]]-DY21)*1000&lt;0,0,(RD[[#This Row],[33 kV_F7_Ex
Incomer5]]-DY21)*1000)</f>
        <v>0</v>
      </c>
      <c r="EQ22" s="140">
        <f>IF((RD[[#This Row],[33 kV_F7_Im
Incomer5]]-DZ21)*1000&lt;0,0,(RD[[#This Row],[33 kV_F7_Im
Incomer5]]-DZ21)*1000)</f>
        <v>0</v>
      </c>
      <c r="ER22" s="140">
        <f>IF((RD[[#This Row],[33 kV_Aux Trafo]]-EA21)*1000&lt;0,0,(RD[[#This Row],[33 kV_Aux Trafo]]-EA21)*1000)</f>
        <v>269.99999999999602</v>
      </c>
      <c r="ES22" s="152">
        <f>IF((RD[[#This Row],[33kV_OG1_Ex_]]-EB21)*1&lt;0,0,(RD[[#This Row],[33kV_OG1_Ex_]]-EB21)*1)</f>
        <v>576521</v>
      </c>
      <c r="ET22" s="140">
        <f>IF((RD[[#This Row],[33kV_OG1_Im]]-EC21)*1&lt;0,0,(RD[[#This Row],[33kV_OG1_Im]]-EC21)*1)</f>
        <v>2015.8719999999739</v>
      </c>
      <c r="EU22" s="140">
        <f>IF((RD[[#This Row],[132kV_TX1_EX]]-ED21)*720&lt;=0,"",(RD[[#This Row],[132kV_TX1_EX]]-ED21)*720)</f>
        <v>1440</v>
      </c>
      <c r="EV22" s="140">
        <f>IF((RD[[#This Row],[132 kV_Tx1_Im]]-EE21)*720&lt;=0,0,(RD[[#This Row],[132 kV_Tx1_Im]]-EE21)*720)</f>
        <v>413280</v>
      </c>
      <c r="EW22" s="140">
        <f>IF((RD[[#This Row],[132kV_L1_Ex]]-EF21)*720&lt;=0,0,(RD[[#This Row],[132kV_L1_Ex]]-EF21)*720)</f>
        <v>574488.00000001676</v>
      </c>
      <c r="EX22" s="140">
        <f>IF((RD[[#This Row],[132kV_L1_Im]]-EG21)*720&lt;=0,0,(RD[[#This Row],[132kV_L1_Im]]-EG21)*720)</f>
        <v>2520</v>
      </c>
      <c r="EY22" s="231">
        <f>IFERROR(RD[[#This Row],[33kV_OG1_Ex (MWh)]]+RD[[#This Row],[33kV_OG1_Im (MWh)]],"")</f>
        <v>578536.87199999997</v>
      </c>
      <c r="EZ22" s="142">
        <f>RD[[#This Row],[33kV_OG1_Ex (MWh)]]-RD[[#This Row],[33kV_OG1_Im (MWh)]]</f>
        <v>574505.12800000003</v>
      </c>
      <c r="FA22" s="142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32">
        <f>IFERROR((RD[[#This Row],[Sunset Time (POA&lt;20 W/m2)]]-RD[[#This Row],[Sunrise Time (POA&gt;20 W/m2)]])*24,0)</f>
        <v>12</v>
      </c>
      <c r="FD22" s="233">
        <v>105</v>
      </c>
      <c r="FE22" t="s">
        <v>273</v>
      </c>
      <c r="FF22"/>
      <c r="FG22"/>
    </row>
    <row r="23" spans="1:163">
      <c r="A23" s="130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46">
        <v>0.26874999999999999</v>
      </c>
      <c r="G23" s="156">
        <v>0.74791666666666667</v>
      </c>
      <c r="H23" s="121">
        <v>8151.5</v>
      </c>
      <c r="I23" s="121">
        <v>8140.7</v>
      </c>
      <c r="J23" s="121">
        <v>7642.9</v>
      </c>
      <c r="K23" s="121">
        <v>7749.1</v>
      </c>
      <c r="L23" s="121">
        <v>8011.4</v>
      </c>
      <c r="M23" s="121">
        <v>8079.1</v>
      </c>
      <c r="N23" s="121">
        <v>7663</v>
      </c>
      <c r="O23" s="121">
        <v>8452.5</v>
      </c>
      <c r="P23" s="121">
        <v>8066.4</v>
      </c>
      <c r="Q23" s="121">
        <v>8021.3</v>
      </c>
      <c r="R23" s="121">
        <v>8337.5</v>
      </c>
      <c r="S23" s="121">
        <v>8285.7000000000007</v>
      </c>
      <c r="T23" s="121">
        <v>8465.1</v>
      </c>
      <c r="U23" s="121">
        <v>8362.1</v>
      </c>
      <c r="V23" s="121">
        <v>8422.7000000000007</v>
      </c>
      <c r="W23" s="121">
        <v>8157.8</v>
      </c>
      <c r="X23" s="192">
        <v>11291.9</v>
      </c>
      <c r="Y23" s="192">
        <v>12637.8</v>
      </c>
      <c r="Z23" s="192">
        <v>10963.7</v>
      </c>
      <c r="AA23" s="192">
        <v>11457.8</v>
      </c>
      <c r="AB23" s="192">
        <v>12480.5</v>
      </c>
      <c r="AC23" s="192">
        <v>7653</v>
      </c>
      <c r="AD23" s="192">
        <v>11580.6</v>
      </c>
      <c r="AE23" s="192">
        <v>11787.8</v>
      </c>
      <c r="AF23" s="192">
        <v>11107.2</v>
      </c>
      <c r="AG23" s="192">
        <v>114551.7</v>
      </c>
      <c r="AH23" s="192">
        <v>11454.2</v>
      </c>
      <c r="AI23" s="192">
        <v>11585.3</v>
      </c>
      <c r="AJ23" s="136">
        <v>9332.1</v>
      </c>
      <c r="AK23" s="136">
        <v>9561.2000000000007</v>
      </c>
      <c r="AL23" s="136">
        <v>9339.2999999999993</v>
      </c>
      <c r="AM23" s="136">
        <v>9396.2000000000007</v>
      </c>
      <c r="AN23" s="136">
        <v>9373.5</v>
      </c>
      <c r="AO23" s="136">
        <v>9712.1</v>
      </c>
      <c r="AP23" s="136">
        <v>9594.6</v>
      </c>
      <c r="AQ23" s="136">
        <v>9411.4</v>
      </c>
      <c r="AR23" s="136">
        <v>7527</v>
      </c>
      <c r="AS23" s="136">
        <v>7594.2</v>
      </c>
      <c r="AT23" s="136">
        <v>7540.9</v>
      </c>
      <c r="AU23" s="136">
        <v>7736.9</v>
      </c>
      <c r="AV23" s="136">
        <v>7979.4</v>
      </c>
      <c r="AW23" s="136">
        <v>7743.9</v>
      </c>
      <c r="AX23" s="136">
        <v>10808.5</v>
      </c>
      <c r="AY23" s="136">
        <v>12160.6</v>
      </c>
      <c r="AZ23" s="136">
        <v>8756.7999999999993</v>
      </c>
      <c r="BA23" s="136">
        <v>10491.1</v>
      </c>
      <c r="BB23" s="136">
        <v>104.9</v>
      </c>
      <c r="BC23" s="136">
        <v>107.5</v>
      </c>
      <c r="BD23" s="136">
        <v>8609.1</v>
      </c>
      <c r="BE23" s="136">
        <v>10319.4</v>
      </c>
      <c r="BF23" s="136">
        <v>11185.1</v>
      </c>
      <c r="BG23" s="136">
        <v>10911.8</v>
      </c>
      <c r="BH23" s="136">
        <v>6579.8</v>
      </c>
      <c r="BI23" s="136">
        <v>4033</v>
      </c>
      <c r="BJ23" s="136">
        <v>6524.5</v>
      </c>
      <c r="BK23" s="136">
        <v>3724.2</v>
      </c>
      <c r="BL23" s="136">
        <v>6133.4</v>
      </c>
      <c r="BM23" s="136">
        <v>6120.1</v>
      </c>
      <c r="BN23" s="136"/>
      <c r="BO23" s="136"/>
      <c r="BP23" s="136"/>
      <c r="BQ23" s="136"/>
      <c r="BR23" s="136">
        <v>0</v>
      </c>
      <c r="BS23" s="136">
        <v>0</v>
      </c>
      <c r="BT23" s="136"/>
      <c r="BU23" s="136"/>
      <c r="BV23" s="136"/>
      <c r="BW23" s="136"/>
      <c r="BX23" s="136"/>
      <c r="BY23" s="136"/>
      <c r="BZ23" s="136">
        <v>1131</v>
      </c>
      <c r="CA23" s="136">
        <v>963</v>
      </c>
      <c r="CB23" s="136">
        <v>4049</v>
      </c>
      <c r="CC23" s="136">
        <v>6281</v>
      </c>
      <c r="CD23" s="59">
        <v>6.420340383333329</v>
      </c>
      <c r="CE23" s="59"/>
      <c r="CF23" s="195">
        <v>6.3113735000000091</v>
      </c>
      <c r="CG23" s="195"/>
      <c r="CH23" s="195">
        <v>0.8414362833333342</v>
      </c>
      <c r="CI23" s="195"/>
      <c r="CJ23" s="59">
        <v>1.2429307333333328</v>
      </c>
      <c r="CK23" s="59"/>
      <c r="CL23" s="195">
        <v>33.827604501607738</v>
      </c>
      <c r="CM23" s="195"/>
      <c r="CN23" s="195">
        <v>46.984334405144693</v>
      </c>
      <c r="CO23" s="195"/>
      <c r="CP23" s="195">
        <v>26.55966237942123</v>
      </c>
      <c r="CQ23" s="195"/>
      <c r="CR23" s="59">
        <v>0</v>
      </c>
      <c r="CS23" s="59"/>
      <c r="CT23" s="195">
        <v>1.0567837620578757</v>
      </c>
      <c r="CU23" s="195"/>
      <c r="CV23" s="195">
        <v>3.0089999999999999</v>
      </c>
      <c r="CW23" s="247"/>
      <c r="CX23" s="193">
        <f>IFERROR(AVERAGEIF(RD[[#This Row],[IS1POA1 (KWh/m2)]:[IS7POA2 (KWh/m2)]],"&lt;&gt;0",RD[[#This Row],[IS1POA1 (KWh/m2)]:[IS7POA2 (KWh/m2)]]),"")</f>
        <v>6.420340383333329</v>
      </c>
      <c r="CY23" s="193">
        <f>IFERROR(AVERAGEIF(RD[[#This Row],[IS1GHI1 (KWh/m2)]:[IS7GHI2 (KWh/m2)]],"&lt;&gt;0",RD[[#This Row],[IS1GHI1 (KWh/m2)]:[IS7GHI2 (KWh/m2)]]),"")</f>
        <v>6.3113735000000091</v>
      </c>
      <c r="CZ23" s="193">
        <f>IFERROR(AVERAGEIF(RD[[#This Row],[IS1POA_BS1 (KWh/m2)]:[IS7POA_BS2 (KWh/m2)]],"&lt;&gt;0",RD[[#This Row],[IS1POA_BS1 (KWh/m2)]:[IS7POA_BS2 (KWh/m2)]]),"")</f>
        <v>0.8414362833333342</v>
      </c>
      <c r="DA23" s="193">
        <f>IFERROR(AVERAGEIF(RD[[#This Row],[IS1GHI_BS1 (KWh/m2)]:[IS1GHI_BS1 (KWh/m2)2]],"&lt;&gt;0",RD[[#This Row],[IS1GHI_BS1 (KWh/m2)]:[IS1GHI_BS1 (KWh/m2)2]]),"")</f>
        <v>1.2429307333333328</v>
      </c>
      <c r="DB23" s="193">
        <f>IFERROR(AVERAGEIF(RD[[#This Row],[IS1AT1 (°C)]:[IS7AT2 (°C)]],"&lt;&gt;0",RD[[#This Row],[IS1AT1 (°C)]:[IS7AT2 (°C)]]),"")</f>
        <v>33.827604501607738</v>
      </c>
      <c r="DC23" s="193">
        <f>IFERROR(AVERAGEIF(RD[[#This Row],[IS1MT1 (°C)]:[IS7MT2 (°C)]],"&lt;&gt;0",RD[[#This Row],[IS1MT1 (°C)]:[IS7MT2 (°C)]]),"")</f>
        <v>46.984334405144693</v>
      </c>
      <c r="DD23" s="193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193">
        <f>IFERROR(AVERAGEIF(RD[[#This Row],[WS_Solar1_Avg (m/s)]:[IS7_WS_Solar1_Avg (m/s)]],"&lt;&gt;0",RD[[#This Row],[WS_Solar1_Avg (m/s)]:[IS7_WS_Solar1_Avg (m/s)]]),"")</f>
        <v>1.0567837620578757</v>
      </c>
      <c r="DG23" s="193">
        <f>IFERROR(AVERAGEIF(RD[[#This Row],[WS_Solar1_Max (m/s)]:[IS7_WS_Solar1_Max (m/s)]],"&lt;&gt;0",RD[[#This Row],[WS_Solar1_Max (m/s)]:[IS7_WS_Solar1_Max (m/s)]]),"")</f>
        <v>3.0089999999999999</v>
      </c>
      <c r="DH23" s="193">
        <f>SUM(RD[[#This Row],[IS1Inv1M1]:[IS4Inv4M2]])</f>
        <v>368560.3</v>
      </c>
      <c r="DI23" s="194">
        <f>SUM(RD[[#This Row],[IS7Inv1M1]]+RD[[#This Row],[IS7Inv2M1]])</f>
        <v>15121.2</v>
      </c>
      <c r="DJ23" s="193">
        <f>SUM(RD[[#This Row],[IS5Inv1M1]:[IS5Inv2M2]])</f>
        <v>37628.800000000003</v>
      </c>
      <c r="DK23" s="193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75">
        <f>SUM(RD[[#This Row],[IS12Inv1M1]:[IS12Inv1M4]])</f>
        <v>0</v>
      </c>
      <c r="DO23" s="275">
        <f>SUM(RD[[#This Row],[IS13Inv1M1]:[IS13Inv2M2]])</f>
        <v>0</v>
      </c>
      <c r="DP23" s="193">
        <f>SUM(RD[[#This Row],[O2R15]:[O2R26]])</f>
        <v>619396.80000000005</v>
      </c>
      <c r="DQ23" s="158">
        <v>36763</v>
      </c>
      <c r="DR23" s="162">
        <v>201.7</v>
      </c>
      <c r="DS23" s="158">
        <v>31544</v>
      </c>
      <c r="DT23" s="158">
        <v>214.2</v>
      </c>
      <c r="DU23" s="162">
        <v>36235.9</v>
      </c>
      <c r="DV23" s="162">
        <v>384.6</v>
      </c>
      <c r="DW23" s="158">
        <v>4551.1000000000004</v>
      </c>
      <c r="DX23" s="162">
        <v>19.899999999999999</v>
      </c>
      <c r="DY23" s="162"/>
      <c r="DZ23" s="162"/>
      <c r="EA23" s="134">
        <v>87.45</v>
      </c>
      <c r="EB23" s="230">
        <v>109949534</v>
      </c>
      <c r="EC23" s="229">
        <v>868605.95200000005</v>
      </c>
      <c r="ED23" s="230">
        <v>1038</v>
      </c>
      <c r="EE23" s="230">
        <v>104313</v>
      </c>
      <c r="EF23" s="158">
        <v>152527.20000000001</v>
      </c>
      <c r="EG23" s="158">
        <v>1716.2</v>
      </c>
      <c r="EH23" s="140">
        <f>IF((RD[[#This Row],[33 kV_F3_Ex
Incomer1]]-DQ22)*1000&lt;0,0,(RD[[#This Row],[33 kV_F3_Ex
Incomer1]]-DQ22)*1000)</f>
        <v>121199.99999999709</v>
      </c>
      <c r="EI23" s="140">
        <f>IF((RD[[#This Row],[34 kV_F3_Im
Incomer1]]-DR22)*1000&lt;0,0,(RD[[#This Row],[34 kV_F3_Im
Incomer1]]-DR22)*1000)</f>
        <v>399.99999999997726</v>
      </c>
      <c r="EJ23" s="140">
        <f>IF((RD[[#This Row],[33 kV_F4_Ex
Incomer2]]-DS22)*1000&lt;0,0,(RD[[#This Row],[33 kV_F4_Ex
Incomer2]]-DS22)*1000)</f>
        <v>114500</v>
      </c>
      <c r="EK23" s="140">
        <f>IF((RD[[#This Row],[34 kV_F4_Im
Incomer2]]-DT22)*1000&lt;0,0,(RD[[#This Row],[34 kV_F4_Im
Incomer2]]-DT22)*1000)</f>
        <v>399.99999999997726</v>
      </c>
      <c r="EL23" s="140">
        <f>IF((RD[[#This Row],[33 kV_F5_Ex
Incomer3]]-DU22)*1000&lt;0,0,(RD[[#This Row],[33 kV_F5_Ex
Incomer3]]-DU22)*1000)</f>
        <v>145900.00000000146</v>
      </c>
      <c r="EM23" s="140">
        <f>IF((RD[[#This Row],[34 kV_F5_Im
Incomer3]]-DV22)*1000&lt;0,0,(RD[[#This Row],[34 kV_F5_Im
Incomer3]]-DV22)*1000)</f>
        <v>900.00000000003411</v>
      </c>
      <c r="EN23" s="140">
        <f>IF((RD[[#This Row],[33 kV_F6_Ex
Incomer4]]-DW22)*1000&lt;0,0,(RD[[#This Row],[33 kV_F6_Ex
Incomer4]]-DW22)*1000)</f>
        <v>94600.000000000364</v>
      </c>
      <c r="EO23" s="140">
        <f>IF((RD[[#This Row],[33 kV_F6_Im
Incomer4]]-DX22)*1000&lt;0,0,(RD[[#This Row],[33 kV_F6_Im
Incomer4]]-DX22)*1000)</f>
        <v>1099.999999999998</v>
      </c>
      <c r="EP23" s="140">
        <f>IF((RD[[#This Row],[33 kV_F7_Ex
Incomer5]]-DY22)*1000&lt;0,0,(RD[[#This Row],[33 kV_F7_Ex
Incomer5]]-DY22)*1000)</f>
        <v>0</v>
      </c>
      <c r="EQ23" s="140">
        <f>IF((RD[[#This Row],[33 kV_F7_Im
Incomer5]]-DZ22)*1000&lt;0,0,(RD[[#This Row],[33 kV_F7_Im
Incomer5]]-DZ22)*1000)</f>
        <v>0</v>
      </c>
      <c r="ER23" s="140">
        <f>IF((RD[[#This Row],[33 kV_Aux Trafo]]-EA22)*1000&lt;0,0,(RD[[#This Row],[33 kV_Aux Trafo]]-EA22)*1000)</f>
        <v>280.00000000000114</v>
      </c>
      <c r="ES23" s="152">
        <f>IF((RD[[#This Row],[33kV_OG1_Ex_]]-EB22)*1&lt;0,0,(RD[[#This Row],[33kV_OG1_Ex_]]-EB22)*1)</f>
        <v>527835</v>
      </c>
      <c r="ET23" s="140">
        <f>IF((RD[[#This Row],[33kV_OG1_Im]]-EC22)*1&lt;0,0,(RD[[#This Row],[33kV_OG1_Im]]-EC22)*1)</f>
        <v>2482.6240000000689</v>
      </c>
      <c r="EU23" s="140">
        <f>IF((RD[[#This Row],[132kV_TX1_EX]]-ED22)*720&lt;=0,"",(RD[[#This Row],[132kV_TX1_EX]]-ED22)*720)</f>
        <v>2880</v>
      </c>
      <c r="EV23" s="140">
        <f>IF((RD[[#This Row],[132 kV_Tx1_Im]]-EE22)*720&lt;=0,0,(RD[[#This Row],[132 kV_Tx1_Im]]-EE22)*720)</f>
        <v>378720</v>
      </c>
      <c r="EW23" s="140">
        <f>IF((RD[[#This Row],[132kV_L1_Ex]]-EF22)*720&lt;=0,0,(RD[[#This Row],[132kV_L1_Ex]]-EF22)*720)</f>
        <v>525960</v>
      </c>
      <c r="EX23" s="140">
        <f>IF((RD[[#This Row],[132kV_L1_Im]]-EG22)*720&lt;=0,0,(RD[[#This Row],[132kV_L1_Im]]-EG22)*720)</f>
        <v>3168.0000000000655</v>
      </c>
      <c r="EY23" s="231">
        <f>IFERROR(RD[[#This Row],[33kV_OG1_Ex (MWh)]]+RD[[#This Row],[33kV_OG1_Im (MWh)]],"")</f>
        <v>530317.62400000007</v>
      </c>
      <c r="EZ23" s="142">
        <f>RD[[#This Row],[33kV_OG1_Ex (MWh)]]-RD[[#This Row],[33kV_OG1_Im (MWh)]]</f>
        <v>525352.37599999993</v>
      </c>
      <c r="FA23" s="142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32">
        <f>IFERROR((RD[[#This Row],[Sunset Time (POA&lt;20 W/m2)]]-RD[[#This Row],[Sunrise Time (POA&gt;20 W/m2)]])*24,0)</f>
        <v>11.5</v>
      </c>
      <c r="FD23" s="233">
        <v>105</v>
      </c>
      <c r="FE23" t="s">
        <v>274</v>
      </c>
      <c r="FF23"/>
      <c r="FG23"/>
    </row>
    <row r="24" spans="1:163">
      <c r="A24" s="130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46">
        <v>0.2673611111111111</v>
      </c>
      <c r="G24" s="156">
        <v>0.76458333333333328</v>
      </c>
      <c r="H24" s="121">
        <v>8869</v>
      </c>
      <c r="I24" s="121">
        <v>7908</v>
      </c>
      <c r="J24" s="121">
        <v>8481</v>
      </c>
      <c r="K24" s="121">
        <v>8494</v>
      </c>
      <c r="L24" s="121">
        <v>8705</v>
      </c>
      <c r="M24" s="121">
        <v>8792</v>
      </c>
      <c r="N24" s="121">
        <v>8612</v>
      </c>
      <c r="O24" s="121">
        <v>9197</v>
      </c>
      <c r="P24" s="121">
        <v>8698</v>
      </c>
      <c r="Q24" s="121">
        <v>8658</v>
      </c>
      <c r="R24" s="121">
        <v>8931</v>
      </c>
      <c r="S24" s="121">
        <v>8886</v>
      </c>
      <c r="T24" s="121">
        <v>9164</v>
      </c>
      <c r="U24" s="121">
        <v>8938</v>
      </c>
      <c r="V24" s="121">
        <v>9061</v>
      </c>
      <c r="W24" s="121">
        <v>8870</v>
      </c>
      <c r="X24" s="192">
        <v>12378</v>
      </c>
      <c r="Y24" s="192">
        <v>13483</v>
      </c>
      <c r="Z24" s="192">
        <v>12107</v>
      </c>
      <c r="AA24" s="192">
        <v>12591</v>
      </c>
      <c r="AB24" s="192">
        <v>13271</v>
      </c>
      <c r="AC24" s="192">
        <v>8276</v>
      </c>
      <c r="AD24" s="192">
        <v>12510</v>
      </c>
      <c r="AE24" s="192">
        <v>12746</v>
      </c>
      <c r="AF24" s="192">
        <v>12104</v>
      </c>
      <c r="AG24" s="192">
        <v>12432</v>
      </c>
      <c r="AH24" s="192">
        <v>12426</v>
      </c>
      <c r="AI24" s="192">
        <v>12533</v>
      </c>
      <c r="AJ24" s="136">
        <v>10281</v>
      </c>
      <c r="AK24" s="136">
        <v>10559</v>
      </c>
      <c r="AL24" s="136">
        <v>10349</v>
      </c>
      <c r="AM24" s="136">
        <v>10398</v>
      </c>
      <c r="AN24" s="136">
        <v>10390</v>
      </c>
      <c r="AO24" s="136">
        <v>10787</v>
      </c>
      <c r="AP24" s="136">
        <v>10595</v>
      </c>
      <c r="AQ24" s="136">
        <v>10441</v>
      </c>
      <c r="AR24" s="136">
        <v>8361</v>
      </c>
      <c r="AS24" s="136">
        <v>8438</v>
      </c>
      <c r="AT24" s="136">
        <v>8323</v>
      </c>
      <c r="AU24" s="136">
        <v>8518</v>
      </c>
      <c r="AV24" s="136">
        <v>8709</v>
      </c>
      <c r="AW24" s="136">
        <v>8557</v>
      </c>
      <c r="AX24" s="136">
        <v>11940</v>
      </c>
      <c r="AY24" s="136">
        <v>13177</v>
      </c>
      <c r="AZ24" s="136">
        <v>9737</v>
      </c>
      <c r="BA24" s="136">
        <v>11685</v>
      </c>
      <c r="BB24" s="136">
        <v>7362</v>
      </c>
      <c r="BC24" s="136">
        <v>5707</v>
      </c>
      <c r="BD24" s="136">
        <v>9575</v>
      </c>
      <c r="BE24" s="136">
        <v>11513</v>
      </c>
      <c r="BF24" s="136">
        <v>12428</v>
      </c>
      <c r="BG24" s="136">
        <v>12421</v>
      </c>
      <c r="BH24" s="136">
        <v>7553</v>
      </c>
      <c r="BI24" s="136">
        <v>4601</v>
      </c>
      <c r="BJ24" s="136">
        <v>7610</v>
      </c>
      <c r="BK24" s="136">
        <v>4294</v>
      </c>
      <c r="BL24" s="136">
        <v>7084</v>
      </c>
      <c r="BM24" s="136">
        <v>7053</v>
      </c>
      <c r="BN24" s="136">
        <v>6930</v>
      </c>
      <c r="BO24" s="136">
        <v>5434</v>
      </c>
      <c r="BP24" s="136">
        <v>5675</v>
      </c>
      <c r="BQ24" s="136">
        <v>3356</v>
      </c>
      <c r="BR24" s="136">
        <v>440</v>
      </c>
      <c r="BS24" s="136">
        <v>0</v>
      </c>
      <c r="BT24" s="136">
        <v>1806</v>
      </c>
      <c r="BU24" s="136">
        <v>831</v>
      </c>
      <c r="BV24" s="136"/>
      <c r="BW24" s="136"/>
      <c r="BX24" s="136"/>
      <c r="BY24" s="136"/>
      <c r="BZ24" s="136">
        <v>1332</v>
      </c>
      <c r="CA24" s="136">
        <v>1134</v>
      </c>
      <c r="CB24" s="136">
        <v>4723</v>
      </c>
      <c r="CC24" s="136">
        <v>7285</v>
      </c>
      <c r="CD24" s="59">
        <v>7.149</v>
      </c>
      <c r="CE24" s="59"/>
      <c r="CF24" s="195">
        <v>7.0730000000000004</v>
      </c>
      <c r="CG24" s="195"/>
      <c r="CH24" s="195">
        <v>0.92800000000000005</v>
      </c>
      <c r="CI24" s="195"/>
      <c r="CJ24" s="59">
        <v>1.3979999999999999</v>
      </c>
      <c r="CK24" s="59"/>
      <c r="CL24" s="195">
        <v>34.167000000000002</v>
      </c>
      <c r="CM24" s="195"/>
      <c r="CN24" s="195">
        <v>45.872999999999998</v>
      </c>
      <c r="CO24" s="195"/>
      <c r="CP24" s="195">
        <v>29.608000000000001</v>
      </c>
      <c r="CQ24" s="195"/>
      <c r="CR24" s="59">
        <v>0</v>
      </c>
      <c r="CS24" s="59"/>
      <c r="CT24" s="195">
        <v>1.0720000000000001</v>
      </c>
      <c r="CU24" s="195"/>
      <c r="CV24" s="195">
        <v>2.58</v>
      </c>
      <c r="CW24" s="247"/>
      <c r="CX24" s="193">
        <f>IFERROR(AVERAGEIF(RD[[#This Row],[IS1POA1 (KWh/m2)]:[IS7POA2 (KWh/m2)]],"&lt;&gt;0",RD[[#This Row],[IS1POA1 (KWh/m2)]:[IS7POA2 (KWh/m2)]]),"")</f>
        <v>7.149</v>
      </c>
      <c r="CY24" s="193">
        <f>IFERROR(AVERAGEIF(RD[[#This Row],[IS1GHI1 (KWh/m2)]:[IS7GHI2 (KWh/m2)]],"&lt;&gt;0",RD[[#This Row],[IS1GHI1 (KWh/m2)]:[IS7GHI2 (KWh/m2)]]),"")</f>
        <v>7.0730000000000004</v>
      </c>
      <c r="CZ24" s="193">
        <f>IFERROR(AVERAGEIF(RD[[#This Row],[IS1POA_BS1 (KWh/m2)]:[IS7POA_BS2 (KWh/m2)]],"&lt;&gt;0",RD[[#This Row],[IS1POA_BS1 (KWh/m2)]:[IS7POA_BS2 (KWh/m2)]]),"")</f>
        <v>0.92800000000000005</v>
      </c>
      <c r="DA24" s="193">
        <f>IFERROR(AVERAGEIF(RD[[#This Row],[IS1GHI_BS1 (KWh/m2)]:[IS1GHI_BS1 (KWh/m2)2]],"&lt;&gt;0",RD[[#This Row],[IS1GHI_BS1 (KWh/m2)]:[IS1GHI_BS1 (KWh/m2)2]]),"")</f>
        <v>1.3979999999999999</v>
      </c>
      <c r="DB24" s="193">
        <f>IFERROR(AVERAGEIF(RD[[#This Row],[IS1AT1 (°C)]:[IS7AT2 (°C)]],"&lt;&gt;0",RD[[#This Row],[IS1AT1 (°C)]:[IS7AT2 (°C)]]),"")</f>
        <v>34.167000000000002</v>
      </c>
      <c r="DC24" s="193">
        <f>IFERROR(AVERAGEIF(RD[[#This Row],[IS1MT1 (°C)]:[IS7MT2 (°C)]],"&lt;&gt;0",RD[[#This Row],[IS1MT1 (°C)]:[IS7MT2 (°C)]]),"")</f>
        <v>45.872999999999998</v>
      </c>
      <c r="DD24" s="193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193">
        <f>IFERROR(AVERAGEIF(RD[[#This Row],[WS_Solar1_Avg (m/s)]:[IS7_WS_Solar1_Avg (m/s)]],"&lt;&gt;0",RD[[#This Row],[WS_Solar1_Avg (m/s)]:[IS7_WS_Solar1_Avg (m/s)]]),"")</f>
        <v>1.0720000000000001</v>
      </c>
      <c r="DG24" s="193">
        <f>IFERROR(AVERAGEIF(RD[[#This Row],[WS_Solar1_Max (m/s)]:[IS7_WS_Solar1_Max (m/s)]],"&lt;&gt;0",RD[[#This Row],[WS_Solar1_Max (m/s)]:[IS7_WS_Solar1_Max (m/s)]]),"")</f>
        <v>2.58</v>
      </c>
      <c r="DH24" s="193">
        <f>SUM(RD[[#This Row],[IS1Inv1M1]:[IS4Inv4M2]])</f>
        <v>287121</v>
      </c>
      <c r="DI24" s="194">
        <f>SUM(RD[[#This Row],[IS7Inv1M1]]+RD[[#This Row],[IS7Inv2M1]])</f>
        <v>16799</v>
      </c>
      <c r="DJ24" s="193">
        <f>SUM(RD[[#This Row],[IS5Inv1M1]:[IS5Inv2M2]])</f>
        <v>41587</v>
      </c>
      <c r="DK24" s="193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75">
        <f>SUM(RD[[#This Row],[IS12Inv1M1]:[IS12Inv1M4]])</f>
        <v>21395</v>
      </c>
      <c r="DO24" s="275">
        <f>SUM(RD[[#This Row],[IS13Inv1M1]:[IS13Inv2M2]])</f>
        <v>3077</v>
      </c>
      <c r="DP24" s="193">
        <f>SUM(RD[[#This Row],[O2R15]:[O2R26]])</f>
        <v>604513</v>
      </c>
      <c r="DQ24" s="158">
        <v>36880.300000000003</v>
      </c>
      <c r="DR24" s="162">
        <v>201.9</v>
      </c>
      <c r="DS24" s="158">
        <v>31653.1</v>
      </c>
      <c r="DT24" s="158">
        <v>214.3</v>
      </c>
      <c r="DU24" s="162">
        <v>36380</v>
      </c>
      <c r="DV24" s="162">
        <v>385.4</v>
      </c>
      <c r="DW24" s="158">
        <v>4658.3999999999996</v>
      </c>
      <c r="DX24" s="162">
        <v>21.1</v>
      </c>
      <c r="DY24" s="162"/>
      <c r="DZ24" s="162"/>
      <c r="EA24" s="134">
        <v>87.69</v>
      </c>
      <c r="EB24" s="230">
        <v>110544773</v>
      </c>
      <c r="EC24" s="229">
        <v>871004.99199999997</v>
      </c>
      <c r="ED24" s="230">
        <v>1041</v>
      </c>
      <c r="EE24" s="230">
        <v>104906</v>
      </c>
      <c r="EF24" s="158">
        <v>153351.1</v>
      </c>
      <c r="EG24" s="158">
        <v>1720.3</v>
      </c>
      <c r="EH24" s="140">
        <f>IF((RD[[#This Row],[33 kV_F3_Ex
Incomer1]]-DQ23)*1000&lt;0,0,(RD[[#This Row],[33 kV_F3_Ex
Incomer1]]-DQ23)*1000)</f>
        <v>117300.00000000291</v>
      </c>
      <c r="EI24" s="140">
        <f>IF((RD[[#This Row],[34 kV_F3_Im
Incomer1]]-DR23)*1000&lt;0,0,(RD[[#This Row],[34 kV_F3_Im
Incomer1]]-DR23)*1000)</f>
        <v>200.00000000001705</v>
      </c>
      <c r="EJ24" s="140">
        <f>IF((RD[[#This Row],[33 kV_F4_Ex
Incomer2]]-DS23)*1000&lt;0,0,(RD[[#This Row],[33 kV_F4_Ex
Incomer2]]-DS23)*1000)</f>
        <v>109099.99999999854</v>
      </c>
      <c r="EK24" s="140">
        <f>IF((RD[[#This Row],[34 kV_F4_Im
Incomer2]]-DT23)*1000&lt;0,0,(RD[[#This Row],[34 kV_F4_Im
Incomer2]]-DT23)*1000)</f>
        <v>100.00000000002274</v>
      </c>
      <c r="EL24" s="140">
        <f>IF((RD[[#This Row],[33 kV_F5_Ex
Incomer3]]-DU23)*1000&lt;0,0,(RD[[#This Row],[33 kV_F5_Ex
Incomer3]]-DU23)*1000)</f>
        <v>144099.99999999854</v>
      </c>
      <c r="EM24" s="140">
        <f>IF((RD[[#This Row],[34 kV_F5_Im
Incomer3]]-DV23)*1000&lt;0,0,(RD[[#This Row],[34 kV_F5_Im
Incomer3]]-DV23)*1000)</f>
        <v>799.99999999995453</v>
      </c>
      <c r="EN24" s="140">
        <f>IF((RD[[#This Row],[33 kV_F6_Ex
Incomer4]]-DW23)*1000&lt;0,0,(RD[[#This Row],[33 kV_F6_Ex
Incomer4]]-DW23)*1000)</f>
        <v>107299.99999999927</v>
      </c>
      <c r="EO24" s="140">
        <f>IF((RD[[#This Row],[33 kV_F6_Im
Incomer4]]-DX23)*1000&lt;0,0,(RD[[#This Row],[33 kV_F6_Im
Incomer4]]-DX23)*1000)</f>
        <v>1200.0000000000027</v>
      </c>
      <c r="EP24" s="140">
        <f>IF((RD[[#This Row],[33 kV_F7_Ex
Incomer5]]-DY23)*1000&lt;0,0,(RD[[#This Row],[33 kV_F7_Ex
Incomer5]]-DY23)*1000)</f>
        <v>0</v>
      </c>
      <c r="EQ24" s="140">
        <f>IF((RD[[#This Row],[33 kV_F7_Im
Incomer5]]-DZ23)*1000&lt;0,0,(RD[[#This Row],[33 kV_F7_Im
Incomer5]]-DZ23)*1000)</f>
        <v>0</v>
      </c>
      <c r="ER24" s="140">
        <f>IF((RD[[#This Row],[33 kV_Aux Trafo]]-EA23)*1000&lt;0,0,(RD[[#This Row],[33 kV_Aux Trafo]]-EA23)*1000)</f>
        <v>239.99999999999488</v>
      </c>
      <c r="ES24" s="152">
        <f>IF((RD[[#This Row],[33kV_OG1_Ex_]]-EB23)*1&lt;0,0,(RD[[#This Row],[33kV_OG1_Ex_]]-EB23)*1)</f>
        <v>595239</v>
      </c>
      <c r="ET24" s="140">
        <f>IF((RD[[#This Row],[33kV_OG1_Im]]-EC23)*1&lt;0,0,(RD[[#This Row],[33kV_OG1_Im]]-EC23)*1)</f>
        <v>2399.0399999999208</v>
      </c>
      <c r="EU24" s="140">
        <f>IF((RD[[#This Row],[132kV_TX1_EX]]-ED23)*720&lt;=0,"",(RD[[#This Row],[132kV_TX1_EX]]-ED23)*720)</f>
        <v>2160</v>
      </c>
      <c r="EV24" s="140">
        <f>IF((RD[[#This Row],[132 kV_Tx1_Im]]-EE23)*720&lt;=0,0,(RD[[#This Row],[132 kV_Tx1_Im]]-EE23)*720)</f>
        <v>426960</v>
      </c>
      <c r="EW24" s="140">
        <f>IF((RD[[#This Row],[132kV_L1_Ex]]-EF23)*720&lt;=0,0,(RD[[#This Row],[132kV_L1_Ex]]-EF23)*720)</f>
        <v>593207.99999999581</v>
      </c>
      <c r="EX24" s="140">
        <f>IF((RD[[#This Row],[132kV_L1_Im]]-EG23)*720&lt;=0,0,(RD[[#This Row],[132kV_L1_Im]]-EG23)*720)</f>
        <v>2951.9999999999345</v>
      </c>
      <c r="EY24" s="231">
        <f>IFERROR(RD[[#This Row],[33kV_OG1_Ex (MWh)]]+RD[[#This Row],[33kV_OG1_Im (MWh)]],"")</f>
        <v>597638.03999999992</v>
      </c>
      <c r="EZ24" s="142">
        <f>RD[[#This Row],[33kV_OG1_Ex (MWh)]]-RD[[#This Row],[33kV_OG1_Im (MWh)]]</f>
        <v>592839.96000000008</v>
      </c>
      <c r="FA24" s="142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32">
        <f>IFERROR((RD[[#This Row],[Sunset Time (POA&lt;20 W/m2)]]-RD[[#This Row],[Sunrise Time (POA&gt;20 W/m2)]])*24,0)</f>
        <v>11.933333333333332</v>
      </c>
      <c r="FD24" s="233">
        <v>105</v>
      </c>
      <c r="FE24" t="s">
        <v>275</v>
      </c>
      <c r="FF24"/>
      <c r="FG24"/>
    </row>
    <row r="25" spans="1:163">
      <c r="A25" s="130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46">
        <v>0.26805555555555555</v>
      </c>
      <c r="G25" s="156">
        <v>0.76597222222222228</v>
      </c>
      <c r="H25" s="121">
        <v>7852.7</v>
      </c>
      <c r="I25" s="121">
        <v>7869.8</v>
      </c>
      <c r="J25" s="121">
        <v>7409.9</v>
      </c>
      <c r="K25" s="121">
        <v>7368.2</v>
      </c>
      <c r="L25" s="121">
        <v>7528.6</v>
      </c>
      <c r="M25" s="121">
        <v>7747.8</v>
      </c>
      <c r="N25" s="121">
        <v>7563.6</v>
      </c>
      <c r="O25" s="121">
        <v>8180.9</v>
      </c>
      <c r="P25" s="121">
        <v>7685.5</v>
      </c>
      <c r="Q25" s="121">
        <v>7586.8</v>
      </c>
      <c r="R25" s="121">
        <v>7806.8</v>
      </c>
      <c r="S25" s="121">
        <v>7759.2</v>
      </c>
      <c r="T25" s="121">
        <v>8114.6</v>
      </c>
      <c r="U25" s="121">
        <v>7805</v>
      </c>
      <c r="V25" s="121">
        <v>7979.5</v>
      </c>
      <c r="W25" s="121">
        <v>7805.8</v>
      </c>
      <c r="X25" s="192">
        <v>10933.7</v>
      </c>
      <c r="Y25" s="192">
        <v>11863.4</v>
      </c>
      <c r="Z25" s="192">
        <v>10677.7</v>
      </c>
      <c r="AA25" s="192">
        <v>11043.3</v>
      </c>
      <c r="AB25" s="192">
        <v>11593.4</v>
      </c>
      <c r="AC25" s="192">
        <v>7238.6</v>
      </c>
      <c r="AD25" s="192">
        <v>10857.1</v>
      </c>
      <c r="AE25" s="192">
        <v>11015.9</v>
      </c>
      <c r="AF25" s="192">
        <v>10795.4</v>
      </c>
      <c r="AG25" s="192">
        <v>10825</v>
      </c>
      <c r="AH25" s="192">
        <v>10856.7</v>
      </c>
      <c r="AI25" s="192">
        <v>10937.8</v>
      </c>
      <c r="AJ25" s="136">
        <v>8756.4</v>
      </c>
      <c r="AK25" s="136">
        <v>9062.7999999999993</v>
      </c>
      <c r="AL25" s="136">
        <v>8894.2000000000007</v>
      </c>
      <c r="AM25" s="136">
        <v>8943.5</v>
      </c>
      <c r="AN25" s="136">
        <v>8906.9</v>
      </c>
      <c r="AO25" s="136">
        <v>9320</v>
      </c>
      <c r="AP25" s="136">
        <v>9107</v>
      </c>
      <c r="AQ25" s="136">
        <v>9002.7999999999993</v>
      </c>
      <c r="AR25" s="136">
        <v>7272.3</v>
      </c>
      <c r="AS25" s="136">
        <v>7334</v>
      </c>
      <c r="AT25" s="136">
        <v>7958</v>
      </c>
      <c r="AU25" s="136">
        <v>8105</v>
      </c>
      <c r="AV25" s="136">
        <v>8287</v>
      </c>
      <c r="AW25" s="136">
        <v>8097</v>
      </c>
      <c r="AX25" s="136">
        <v>10002.700000000001</v>
      </c>
      <c r="AY25" s="136">
        <v>11407</v>
      </c>
      <c r="AZ25" s="136">
        <v>8417</v>
      </c>
      <c r="BA25" s="136">
        <v>10094.4</v>
      </c>
      <c r="BB25" s="136">
        <v>10263</v>
      </c>
      <c r="BC25" s="136">
        <v>7976</v>
      </c>
      <c r="BD25" s="136">
        <v>8343</v>
      </c>
      <c r="BE25" s="136">
        <v>9998.9</v>
      </c>
      <c r="BF25" s="136">
        <v>20679</v>
      </c>
      <c r="BG25" s="136">
        <v>10686</v>
      </c>
      <c r="BH25" s="136">
        <v>6595</v>
      </c>
      <c r="BI25" s="136">
        <v>4033</v>
      </c>
      <c r="BJ25" s="136">
        <v>6583</v>
      </c>
      <c r="BK25" s="136">
        <v>3669</v>
      </c>
      <c r="BL25" s="136">
        <v>6382</v>
      </c>
      <c r="BM25" s="136">
        <v>6042</v>
      </c>
      <c r="BN25" s="136">
        <v>6679</v>
      </c>
      <c r="BO25" s="136">
        <v>4699</v>
      </c>
      <c r="BP25" s="136">
        <v>5234</v>
      </c>
      <c r="BQ25" s="136">
        <v>2882</v>
      </c>
      <c r="BR25" s="136">
        <v>1373</v>
      </c>
      <c r="BS25" s="136">
        <v>0</v>
      </c>
      <c r="BT25" s="136">
        <v>1556</v>
      </c>
      <c r="BU25" s="136">
        <v>713</v>
      </c>
      <c r="BV25" s="136"/>
      <c r="BW25" s="136"/>
      <c r="BX25" s="136"/>
      <c r="BY25" s="136"/>
      <c r="BZ25" s="136">
        <v>1139</v>
      </c>
      <c r="CA25" s="136">
        <v>969</v>
      </c>
      <c r="CB25" s="136">
        <v>4100</v>
      </c>
      <c r="CC25" s="136">
        <v>6296</v>
      </c>
      <c r="CD25" s="59">
        <v>6.3220000000000001</v>
      </c>
      <c r="CE25" s="59"/>
      <c r="CF25" s="195">
        <v>6.26</v>
      </c>
      <c r="CG25" s="195"/>
      <c r="CH25" s="195">
        <v>0.77400000000000002</v>
      </c>
      <c r="CI25" s="195"/>
      <c r="CJ25" s="59">
        <v>1.248</v>
      </c>
      <c r="CK25" s="59"/>
      <c r="CL25" s="195">
        <v>34.081000000000003</v>
      </c>
      <c r="CM25" s="195"/>
      <c r="CN25" s="195">
        <v>45.521000000000001</v>
      </c>
      <c r="CO25" s="195"/>
      <c r="CP25" s="195">
        <v>28.576000000000001</v>
      </c>
      <c r="CQ25" s="195"/>
      <c r="CR25" s="59">
        <v>0</v>
      </c>
      <c r="CS25" s="59"/>
      <c r="CT25" s="195">
        <v>1.167</v>
      </c>
      <c r="CU25" s="195"/>
      <c r="CV25" s="195">
        <v>3.117</v>
      </c>
      <c r="CW25" s="247"/>
      <c r="CX25" s="193">
        <f>IFERROR(AVERAGEIF(RD[[#This Row],[IS1POA1 (KWh/m2)]:[IS7POA2 (KWh/m2)]],"&lt;&gt;0",RD[[#This Row],[IS1POA1 (KWh/m2)]:[IS7POA2 (KWh/m2)]]),"")</f>
        <v>6.3220000000000001</v>
      </c>
      <c r="CY25" s="193">
        <f>IFERROR(AVERAGEIF(RD[[#This Row],[IS1GHI1 (KWh/m2)]:[IS7GHI2 (KWh/m2)]],"&lt;&gt;0",RD[[#This Row],[IS1GHI1 (KWh/m2)]:[IS7GHI2 (KWh/m2)]]),"")</f>
        <v>6.26</v>
      </c>
      <c r="CZ25" s="193">
        <f>IFERROR(AVERAGEIF(RD[[#This Row],[IS1POA_BS1 (KWh/m2)]:[IS7POA_BS2 (KWh/m2)]],"&lt;&gt;0",RD[[#This Row],[IS1POA_BS1 (KWh/m2)]:[IS7POA_BS2 (KWh/m2)]]),"")</f>
        <v>0.77400000000000002</v>
      </c>
      <c r="DA25" s="193">
        <f>IFERROR(AVERAGEIF(RD[[#This Row],[IS1GHI_BS1 (KWh/m2)]:[IS1GHI_BS1 (KWh/m2)2]],"&lt;&gt;0",RD[[#This Row],[IS1GHI_BS1 (KWh/m2)]:[IS1GHI_BS1 (KWh/m2)2]]),"")</f>
        <v>1.248</v>
      </c>
      <c r="DB25" s="193">
        <f>IFERROR(AVERAGEIF(RD[[#This Row],[IS1AT1 (°C)]:[IS7AT2 (°C)]],"&lt;&gt;0",RD[[#This Row],[IS1AT1 (°C)]:[IS7AT2 (°C)]]),"")</f>
        <v>34.081000000000003</v>
      </c>
      <c r="DC25" s="193">
        <f>IFERROR(AVERAGEIF(RD[[#This Row],[IS1MT1 (°C)]:[IS7MT2 (°C)]],"&lt;&gt;0",RD[[#This Row],[IS1MT1 (°C)]:[IS7MT2 (°C)]]),"")</f>
        <v>45.521000000000001</v>
      </c>
      <c r="DD25" s="193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193">
        <f>IFERROR(AVERAGEIF(RD[[#This Row],[WS_Solar1_Avg (m/s)]:[IS7_WS_Solar1_Avg (m/s)]],"&lt;&gt;0",RD[[#This Row],[WS_Solar1_Avg (m/s)]:[IS7_WS_Solar1_Avg (m/s)]]),"")</f>
        <v>1.167</v>
      </c>
      <c r="DG25" s="193">
        <f>IFERROR(AVERAGEIF(RD[[#This Row],[WS_Solar1_Max (m/s)]:[IS7_WS_Solar1_Max (m/s)]],"&lt;&gt;0",RD[[#This Row],[WS_Solar1_Max (m/s)]:[IS7_WS_Solar1_Max (m/s)]]),"")</f>
        <v>3.117</v>
      </c>
      <c r="DH25" s="193">
        <f>SUM(RD[[#This Row],[IS1Inv1M1]:[IS4Inv4M2]])</f>
        <v>252702.7</v>
      </c>
      <c r="DI25" s="194">
        <f>SUM(RD[[#This Row],[IS7Inv1M1]]+RD[[#This Row],[IS7Inv2M1]])</f>
        <v>14606.3</v>
      </c>
      <c r="DJ25" s="193">
        <f>SUM(RD[[#This Row],[IS5Inv1M1]:[IS5Inv2M2]])</f>
        <v>35656.899999999994</v>
      </c>
      <c r="DK25" s="193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75">
        <f>SUM(RD[[#This Row],[IS12Inv1M1]:[IS12Inv1M4]])</f>
        <v>19494</v>
      </c>
      <c r="DO25" s="275">
        <f>SUM(RD[[#This Row],[IS13Inv1M1]:[IS13Inv2M2]])</f>
        <v>3642</v>
      </c>
      <c r="DP25" s="193">
        <f>SUM(RD[[#This Row],[O2R15]:[O2R26]])</f>
        <v>548560.6</v>
      </c>
      <c r="DQ25" s="158">
        <v>36973.599999999999</v>
      </c>
      <c r="DR25" s="162">
        <v>202.1</v>
      </c>
      <c r="DS25" s="158">
        <v>31741.3</v>
      </c>
      <c r="DT25" s="158">
        <v>214.5</v>
      </c>
      <c r="DU25" s="162">
        <v>36492.6</v>
      </c>
      <c r="DV25" s="162">
        <v>385.8</v>
      </c>
      <c r="DW25" s="158">
        <v>4749.5</v>
      </c>
      <c r="DX25" s="162">
        <v>21.7</v>
      </c>
      <c r="DY25" s="162"/>
      <c r="DZ25" s="162"/>
      <c r="EA25" s="134">
        <v>87.87</v>
      </c>
      <c r="EB25" s="230">
        <v>111071920</v>
      </c>
      <c r="EC25" s="229">
        <v>872561.6</v>
      </c>
      <c r="ED25" s="230">
        <v>1043</v>
      </c>
      <c r="EE25" s="230">
        <v>105431</v>
      </c>
      <c r="EF25" s="158">
        <v>154080.79999999999</v>
      </c>
      <c r="EG25" s="158">
        <v>1723.2</v>
      </c>
      <c r="EH25" s="140">
        <f>IF((RD[[#This Row],[33 kV_F3_Ex
Incomer1]]-DQ24)*1000&lt;0,0,(RD[[#This Row],[33 kV_F3_Ex
Incomer1]]-DQ24)*1000)</f>
        <v>93299.999999995634</v>
      </c>
      <c r="EI25" s="140">
        <f>IF((RD[[#This Row],[34 kV_F3_Im
Incomer1]]-DR24)*1000&lt;0,0,(RD[[#This Row],[34 kV_F3_Im
Incomer1]]-DR24)*1000)</f>
        <v>199.99999999998863</v>
      </c>
      <c r="EJ25" s="140">
        <f>IF((RD[[#This Row],[33 kV_F4_Ex
Incomer2]]-DS24)*1000&lt;0,0,(RD[[#This Row],[33 kV_F4_Ex
Incomer2]]-DS24)*1000)</f>
        <v>88200.000000000728</v>
      </c>
      <c r="EK25" s="140">
        <f>IF((RD[[#This Row],[34 kV_F4_Im
Incomer2]]-DT24)*1000&lt;0,0,(RD[[#This Row],[34 kV_F4_Im
Incomer2]]-DT24)*1000)</f>
        <v>199.99999999998863</v>
      </c>
      <c r="EL25" s="140">
        <f>IF((RD[[#This Row],[33 kV_F5_Ex
Incomer3]]-DU24)*1000&lt;0,0,(RD[[#This Row],[33 kV_F5_Ex
Incomer3]]-DU24)*1000)</f>
        <v>112599.99999999854</v>
      </c>
      <c r="EM25" s="140">
        <f>IF((RD[[#This Row],[34 kV_F5_Im
Incomer3]]-DV24)*1000&lt;0,0,(RD[[#This Row],[34 kV_F5_Im
Incomer3]]-DV24)*1000)</f>
        <v>400.00000000003411</v>
      </c>
      <c r="EN25" s="140">
        <f>IF((RD[[#This Row],[33 kV_F6_Ex
Incomer4]]-DW24)*1000&lt;0,0,(RD[[#This Row],[33 kV_F6_Ex
Incomer4]]-DW24)*1000)</f>
        <v>91100.000000000364</v>
      </c>
      <c r="EO25" s="140">
        <f>IF((RD[[#This Row],[33 kV_F6_Im
Incomer4]]-DX24)*1000&lt;0,0,(RD[[#This Row],[33 kV_F6_Im
Incomer4]]-DX24)*1000)</f>
        <v>599.99999999999784</v>
      </c>
      <c r="EP25" s="140">
        <f>IF((RD[[#This Row],[33 kV_F7_Ex
Incomer5]]-DY24)*1000&lt;0,0,(RD[[#This Row],[33 kV_F7_Ex
Incomer5]]-DY24)*1000)</f>
        <v>0</v>
      </c>
      <c r="EQ25" s="140">
        <f>IF((RD[[#This Row],[33 kV_F7_Im
Incomer5]]-DZ24)*1000&lt;0,0,(RD[[#This Row],[33 kV_F7_Im
Incomer5]]-DZ24)*1000)</f>
        <v>0</v>
      </c>
      <c r="ER25" s="140">
        <f>IF((RD[[#This Row],[33 kV_Aux Trafo]]-EA24)*1000&lt;0,0,(RD[[#This Row],[33 kV_Aux Trafo]]-EA24)*1000)</f>
        <v>180.00000000000682</v>
      </c>
      <c r="ES25" s="152">
        <f>IF((RD[[#This Row],[33kV_OG1_Ex_]]-EB24)*1&lt;0,0,(RD[[#This Row],[33kV_OG1_Ex_]]-EB24)*1)</f>
        <v>527147</v>
      </c>
      <c r="ET25" s="140">
        <f>IF((RD[[#This Row],[33kV_OG1_Im]]-EC24)*1&lt;0,0,(RD[[#This Row],[33kV_OG1_Im]]-EC24)*1)</f>
        <v>1556.6080000000075</v>
      </c>
      <c r="EU25" s="140">
        <f>IF((RD[[#This Row],[132kV_TX1_EX]]-ED24)*720&lt;=0,"",(RD[[#This Row],[132kV_TX1_EX]]-ED24)*720)</f>
        <v>1440</v>
      </c>
      <c r="EV25" s="140">
        <f>IF((RD[[#This Row],[132 kV_Tx1_Im]]-EE24)*720&lt;=0,0,(RD[[#This Row],[132 kV_Tx1_Im]]-EE24)*720)</f>
        <v>378000</v>
      </c>
      <c r="EW25" s="140">
        <f>IF((RD[[#This Row],[132kV_L1_Ex]]-EF24)*720&lt;=0,0,(RD[[#This Row],[132kV_L1_Ex]]-EF24)*720)</f>
        <v>525383.99999998743</v>
      </c>
      <c r="EX25" s="140">
        <f>IF((RD[[#This Row],[132kV_L1_Im]]-EG24)*720&lt;=0,0,(RD[[#This Row],[132kV_L1_Im]]-EG24)*720)</f>
        <v>2088.0000000000655</v>
      </c>
      <c r="EY25" s="231">
        <f>IFERROR(RD[[#This Row],[33kV_OG1_Ex (MWh)]]+RD[[#This Row],[33kV_OG1_Im (MWh)]],"")</f>
        <v>528703.60800000001</v>
      </c>
      <c r="EZ25" s="142">
        <f>RD[[#This Row],[33kV_OG1_Ex (MWh)]]-RD[[#This Row],[33kV_OG1_Im (MWh)]]</f>
        <v>525590.39199999999</v>
      </c>
      <c r="FA25" s="142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32">
        <f>IFERROR((RD[[#This Row],[Sunset Time (POA&lt;20 W/m2)]]-RD[[#This Row],[Sunrise Time (POA&gt;20 W/m2)]])*24,0)</f>
        <v>11.950000000000001</v>
      </c>
      <c r="FD25" s="233">
        <v>105</v>
      </c>
      <c r="FE25" t="s">
        <v>265</v>
      </c>
      <c r="FF25"/>
      <c r="FG25"/>
    </row>
    <row r="26" spans="1:163">
      <c r="A26" s="130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46">
        <v>0.26458333333333334</v>
      </c>
      <c r="G26" s="156">
        <v>0.76736111111111116</v>
      </c>
      <c r="H26" s="121">
        <v>9048.5</v>
      </c>
      <c r="I26" s="121">
        <v>9015.9</v>
      </c>
      <c r="J26" s="121">
        <v>8548.2999999999993</v>
      </c>
      <c r="K26" s="121">
        <v>8558.1</v>
      </c>
      <c r="L26" s="121">
        <v>8769.5</v>
      </c>
      <c r="M26" s="121">
        <v>9032.6</v>
      </c>
      <c r="N26" s="121">
        <v>8815.7000000000007</v>
      </c>
      <c r="O26" s="121">
        <v>9393.1</v>
      </c>
      <c r="P26" s="121">
        <v>8821.7999999999993</v>
      </c>
      <c r="Q26" s="121">
        <v>8758</v>
      </c>
      <c r="R26" s="121">
        <v>9017.2999999999993</v>
      </c>
      <c r="S26" s="121">
        <v>9019.2999999999993</v>
      </c>
      <c r="T26" s="121">
        <v>9284.6</v>
      </c>
      <c r="U26" s="121">
        <v>9006.7999999999993</v>
      </c>
      <c r="V26" s="121">
        <v>9145.1</v>
      </c>
      <c r="W26" s="121">
        <v>8977.7999999999993</v>
      </c>
      <c r="X26" s="192">
        <v>12653</v>
      </c>
      <c r="Y26" s="192">
        <v>13628.1</v>
      </c>
      <c r="Z26" s="192">
        <v>12198.8</v>
      </c>
      <c r="AA26" s="192">
        <v>12728.9</v>
      </c>
      <c r="AB26" s="192">
        <v>13443.2</v>
      </c>
      <c r="AC26" s="192">
        <v>8325.7000000000007</v>
      </c>
      <c r="AD26" s="192">
        <v>12683.5</v>
      </c>
      <c r="AE26" s="192">
        <v>12813.3</v>
      </c>
      <c r="AF26" s="192">
        <v>12499</v>
      </c>
      <c r="AG26" s="192">
        <v>12432</v>
      </c>
      <c r="AH26" s="192">
        <v>12587.8</v>
      </c>
      <c r="AI26" s="192">
        <v>12714</v>
      </c>
      <c r="AJ26" s="136">
        <v>10389.6</v>
      </c>
      <c r="AK26" s="136">
        <v>10672.1</v>
      </c>
      <c r="AL26" s="136">
        <v>10466.5</v>
      </c>
      <c r="AM26" s="136">
        <v>10509.8</v>
      </c>
      <c r="AN26" s="136">
        <v>10571.4</v>
      </c>
      <c r="AO26" s="136">
        <v>10904.9</v>
      </c>
      <c r="AP26" s="136">
        <v>10750.4</v>
      </c>
      <c r="AQ26" s="136">
        <v>10588.7</v>
      </c>
      <c r="AR26" s="136">
        <v>8624.2000000000007</v>
      </c>
      <c r="AS26" s="136">
        <v>8688.1</v>
      </c>
      <c r="AT26" s="136">
        <v>8452.9</v>
      </c>
      <c r="AU26" s="136">
        <v>8650</v>
      </c>
      <c r="AV26" s="136">
        <v>8836.7000000000007</v>
      </c>
      <c r="AW26" s="136">
        <v>8708</v>
      </c>
      <c r="AX26" s="136">
        <v>12246</v>
      </c>
      <c r="AY26" s="136">
        <v>13347.4</v>
      </c>
      <c r="AZ26" s="136">
        <v>9864</v>
      </c>
      <c r="BA26" s="136">
        <v>11841.4</v>
      </c>
      <c r="BB26" s="136">
        <v>12082.9</v>
      </c>
      <c r="BC26" s="136">
        <v>9243.7999999999993</v>
      </c>
      <c r="BD26" s="136">
        <v>9745.2999999999993</v>
      </c>
      <c r="BE26" s="136">
        <v>11762.4</v>
      </c>
      <c r="BF26" s="136">
        <v>12586</v>
      </c>
      <c r="BG26" s="136">
        <v>12729</v>
      </c>
      <c r="BH26" s="136">
        <v>7681.1</v>
      </c>
      <c r="BI26" s="136">
        <v>4714.3</v>
      </c>
      <c r="BJ26" s="136">
        <v>7610</v>
      </c>
      <c r="BK26" s="136">
        <v>4294</v>
      </c>
      <c r="BL26" s="136">
        <v>7084</v>
      </c>
      <c r="BM26" s="136">
        <v>7053</v>
      </c>
      <c r="BN26" s="136"/>
      <c r="BO26" s="136"/>
      <c r="BP26" s="136"/>
      <c r="BQ26" s="136"/>
      <c r="BR26" s="136">
        <v>1647</v>
      </c>
      <c r="BS26" s="136">
        <v>0</v>
      </c>
      <c r="BT26" s="136">
        <v>1845</v>
      </c>
      <c r="BU26" s="136">
        <v>846</v>
      </c>
      <c r="BV26" s="136"/>
      <c r="BW26" s="136"/>
      <c r="BX26" s="136"/>
      <c r="BY26" s="136"/>
      <c r="BZ26" s="136"/>
      <c r="CA26" s="136"/>
      <c r="CB26" s="136"/>
      <c r="CC26" s="136"/>
      <c r="CD26" s="59">
        <v>7.2034397833333221</v>
      </c>
      <c r="CE26" s="59"/>
      <c r="CF26" s="195">
        <v>7.1534676333333289</v>
      </c>
      <c r="CG26" s="195"/>
      <c r="CH26" s="195">
        <v>0.94859071666666694</v>
      </c>
      <c r="CI26" s="195"/>
      <c r="CJ26" s="59">
        <v>1.4176835499999965</v>
      </c>
      <c r="CK26" s="59"/>
      <c r="CL26" s="195">
        <v>33.854152777777742</v>
      </c>
      <c r="CM26" s="195"/>
      <c r="CN26" s="195">
        <v>45.871319444444431</v>
      </c>
      <c r="CO26" s="195"/>
      <c r="CP26" s="195">
        <v>27.38393055555553</v>
      </c>
      <c r="CQ26" s="195"/>
      <c r="CR26" s="59">
        <v>0</v>
      </c>
      <c r="CS26" s="59"/>
      <c r="CT26" s="195">
        <v>1.3137354166666648</v>
      </c>
      <c r="CU26" s="195"/>
      <c r="CV26" s="195">
        <v>3.1829999999999998</v>
      </c>
      <c r="CW26" s="247"/>
      <c r="CX26" s="193">
        <f>IFERROR(AVERAGEIF(RD[[#This Row],[IS1POA1 (KWh/m2)]:[IS7POA2 (KWh/m2)]],"&lt;&gt;0",RD[[#This Row],[IS1POA1 (KWh/m2)]:[IS7POA2 (KWh/m2)]]),"")</f>
        <v>7.2034397833333221</v>
      </c>
      <c r="CY26" s="193">
        <f>IFERROR(AVERAGEIF(RD[[#This Row],[IS1GHI1 (KWh/m2)]:[IS7GHI2 (KWh/m2)]],"&lt;&gt;0",RD[[#This Row],[IS1GHI1 (KWh/m2)]:[IS7GHI2 (KWh/m2)]]),"")</f>
        <v>7.1534676333333289</v>
      </c>
      <c r="CZ26" s="193">
        <f>IFERROR(AVERAGEIF(RD[[#This Row],[IS1POA_BS1 (KWh/m2)]:[IS7POA_BS2 (KWh/m2)]],"&lt;&gt;0",RD[[#This Row],[IS1POA_BS1 (KWh/m2)]:[IS7POA_BS2 (KWh/m2)]]),"")</f>
        <v>0.94859071666666694</v>
      </c>
      <c r="DA26" s="193">
        <f>IFERROR(AVERAGEIF(RD[[#This Row],[IS1GHI_BS1 (KWh/m2)]:[IS1GHI_BS1 (KWh/m2)2]],"&lt;&gt;0",RD[[#This Row],[IS1GHI_BS1 (KWh/m2)]:[IS1GHI_BS1 (KWh/m2)2]]),"")</f>
        <v>1.4176835499999965</v>
      </c>
      <c r="DB26" s="193">
        <f>IFERROR(AVERAGEIF(RD[[#This Row],[IS1AT1 (°C)]:[IS7AT2 (°C)]],"&lt;&gt;0",RD[[#This Row],[IS1AT1 (°C)]:[IS7AT2 (°C)]]),"")</f>
        <v>33.854152777777742</v>
      </c>
      <c r="DC26" s="193">
        <f>IFERROR(AVERAGEIF(RD[[#This Row],[IS1MT1 (°C)]:[IS7MT2 (°C)]],"&lt;&gt;0",RD[[#This Row],[IS1MT1 (°C)]:[IS7MT2 (°C)]]),"")</f>
        <v>45.871319444444431</v>
      </c>
      <c r="DD26" s="193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193">
        <f>IFERROR(AVERAGEIF(RD[[#This Row],[WS_Solar1_Avg (m/s)]:[IS7_WS_Solar1_Avg (m/s)]],"&lt;&gt;0",RD[[#This Row],[WS_Solar1_Avg (m/s)]:[IS7_WS_Solar1_Avg (m/s)]]),"")</f>
        <v>1.3137354166666648</v>
      </c>
      <c r="DG26" s="193">
        <f>IFERROR(AVERAGEIF(RD[[#This Row],[WS_Solar1_Max (m/s)]:[IS7_WS_Solar1_Max (m/s)]],"&lt;&gt;0",RD[[#This Row],[WS_Solar1_Max (m/s)]:[IS7_WS_Solar1_Max (m/s)]]),"")</f>
        <v>3.1829999999999998</v>
      </c>
      <c r="DH26" s="193">
        <f>SUM(RD[[#This Row],[IS1Inv1M1]:[IS4Inv4M2]])</f>
        <v>291919.7</v>
      </c>
      <c r="DI26" s="194">
        <f>SUM(RD[[#This Row],[IS7Inv1M1]]+RD[[#This Row],[IS7Inv2M1]])</f>
        <v>17312.300000000003</v>
      </c>
      <c r="DJ26" s="193">
        <f>SUM(RD[[#This Row],[IS5Inv1M1]:[IS5Inv2M2]])</f>
        <v>42038</v>
      </c>
      <c r="DK26" s="193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75">
        <f>SUM(RD[[#This Row],[IS12Inv1M1]:[IS12Inv1M4]])</f>
        <v>0</v>
      </c>
      <c r="DO26" s="275">
        <f>SUM(RD[[#This Row],[IS13Inv1M1]:[IS13Inv2M2]])</f>
        <v>4338</v>
      </c>
      <c r="DP26" s="193">
        <f>SUM(RD[[#This Row],[O2R15]:[O2R26]])</f>
        <v>586955.60000000009</v>
      </c>
      <c r="DQ26" s="158">
        <v>37072.800000000003</v>
      </c>
      <c r="DR26" s="162">
        <v>202.3</v>
      </c>
      <c r="DS26" s="158">
        <v>31834.400000000001</v>
      </c>
      <c r="DT26" s="158">
        <v>214.8</v>
      </c>
      <c r="DU26" s="162">
        <v>36614.400000000001</v>
      </c>
      <c r="DV26" s="162">
        <v>386.4</v>
      </c>
      <c r="DW26" s="158">
        <v>4848.3999999999996</v>
      </c>
      <c r="DX26" s="162">
        <v>22.5</v>
      </c>
      <c r="DY26" s="162"/>
      <c r="DZ26" s="162"/>
      <c r="EA26" s="134">
        <v>88.09</v>
      </c>
      <c r="EB26" s="230">
        <v>111687254</v>
      </c>
      <c r="EC26" s="229">
        <v>875620.54599999997</v>
      </c>
      <c r="ED26" s="230">
        <v>1047</v>
      </c>
      <c r="EE26" s="230">
        <v>106044</v>
      </c>
      <c r="EF26" s="158">
        <v>154932.5</v>
      </c>
      <c r="EG26" s="158">
        <v>1728.5</v>
      </c>
      <c r="EH26" s="140">
        <f>IF((RD[[#This Row],[33 kV_F3_Ex
Incomer1]]-DQ25)*1000&lt;0,0,(RD[[#This Row],[33 kV_F3_Ex
Incomer1]]-DQ25)*1000)</f>
        <v>99200.000000004366</v>
      </c>
      <c r="EI26" s="140">
        <f>IF((RD[[#This Row],[34 kV_F3_Im
Incomer1]]-DR25)*1000&lt;0,0,(RD[[#This Row],[34 kV_F3_Im
Incomer1]]-DR25)*1000)</f>
        <v>200.00000000001705</v>
      </c>
      <c r="EJ26" s="140">
        <f>IF((RD[[#This Row],[33 kV_F4_Ex
Incomer2]]-DS25)*1000&lt;0,0,(RD[[#This Row],[33 kV_F4_Ex
Incomer2]]-DS25)*1000)</f>
        <v>93100.000000002183</v>
      </c>
      <c r="EK26" s="140">
        <f>IF((RD[[#This Row],[34 kV_F4_Im
Incomer2]]-DT25)*1000&lt;0,0,(RD[[#This Row],[34 kV_F4_Im
Incomer2]]-DT25)*1000)</f>
        <v>300.00000000001137</v>
      </c>
      <c r="EL26" s="140">
        <f>IF((RD[[#This Row],[33 kV_F5_Ex
Incomer3]]-DU25)*1000&lt;0,0,(RD[[#This Row],[33 kV_F5_Ex
Incomer3]]-DU25)*1000)</f>
        <v>121800.00000000291</v>
      </c>
      <c r="EM26" s="140">
        <f>IF((RD[[#This Row],[34 kV_F5_Im
Incomer3]]-DV25)*1000&lt;0,0,(RD[[#This Row],[34 kV_F5_Im
Incomer3]]-DV25)*1000)</f>
        <v>599.99999999996589</v>
      </c>
      <c r="EN26" s="140">
        <f>IF((RD[[#This Row],[33 kV_F6_Ex
Incomer4]]-DW25)*1000&lt;0,0,(RD[[#This Row],[33 kV_F6_Ex
Incomer4]]-DW25)*1000)</f>
        <v>98899.999999999636</v>
      </c>
      <c r="EO26" s="140">
        <f>IF((RD[[#This Row],[33 kV_F6_Im
Incomer4]]-DX25)*1000&lt;0,0,(RD[[#This Row],[33 kV_F6_Im
Incomer4]]-DX25)*1000)</f>
        <v>800.00000000000068</v>
      </c>
      <c r="EP26" s="140">
        <f>IF((RD[[#This Row],[33 kV_F7_Ex
Incomer5]]-DY25)*1000&lt;0,0,(RD[[#This Row],[33 kV_F7_Ex
Incomer5]]-DY25)*1000)</f>
        <v>0</v>
      </c>
      <c r="EQ26" s="140">
        <f>IF((RD[[#This Row],[33 kV_F7_Im
Incomer5]]-DZ25)*1000&lt;0,0,(RD[[#This Row],[33 kV_F7_Im
Incomer5]]-DZ25)*1000)</f>
        <v>0</v>
      </c>
      <c r="ER26" s="140">
        <f>IF((RD[[#This Row],[33 kV_Aux Trafo]]-EA25)*1000&lt;0,0,(RD[[#This Row],[33 kV_Aux Trafo]]-EA25)*1000)</f>
        <v>219.99999999999886</v>
      </c>
      <c r="ES26" s="152">
        <f>IF((RD[[#This Row],[33kV_OG1_Ex_]]-EB25)*1&lt;0,0,(RD[[#This Row],[33kV_OG1_Ex_]]-EB25)*1)</f>
        <v>615334</v>
      </c>
      <c r="ET26" s="140">
        <f>IF((RD[[#This Row],[33kV_OG1_Im]]-EC25)*1&lt;0,0,(RD[[#This Row],[33kV_OG1_Im]]-EC25)*1)</f>
        <v>3058.9459999999963</v>
      </c>
      <c r="EU26" s="140">
        <f>IF((RD[[#This Row],[132kV_TX1_EX]]-ED25)*720&lt;=0,"",(RD[[#This Row],[132kV_TX1_EX]]-ED25)*720)</f>
        <v>2880</v>
      </c>
      <c r="EV26" s="140">
        <f>IF((RD[[#This Row],[132 kV_Tx1_Im]]-EE25)*720&lt;=0,0,(RD[[#This Row],[132 kV_Tx1_Im]]-EE25)*720)</f>
        <v>441360</v>
      </c>
      <c r="EW26" s="140">
        <f>IF((RD[[#This Row],[132kV_L1_Ex]]-EF25)*720&lt;=0,0,(RD[[#This Row],[132kV_L1_Ex]]-EF25)*720)</f>
        <v>613224.00000000838</v>
      </c>
      <c r="EX26" s="140">
        <f>IF((RD[[#This Row],[132kV_L1_Im]]-EG25)*720&lt;=0,0,(RD[[#This Row],[132kV_L1_Im]]-EG25)*720)</f>
        <v>3815.9999999999673</v>
      </c>
      <c r="EY26" s="231">
        <f>IFERROR(RD[[#This Row],[33kV_OG1_Ex (MWh)]]+RD[[#This Row],[33kV_OG1_Im (MWh)]],"")</f>
        <v>618392.946</v>
      </c>
      <c r="EZ26" s="142">
        <f>RD[[#This Row],[33kV_OG1_Ex (MWh)]]-RD[[#This Row],[33kV_OG1_Im (MWh)]]</f>
        <v>612275.054</v>
      </c>
      <c r="FA26" s="142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32">
        <f>IFERROR((RD[[#This Row],[Sunset Time (POA&lt;20 W/m2)]]-RD[[#This Row],[Sunrise Time (POA&gt;20 W/m2)]])*24,0)</f>
        <v>12.066666666666666</v>
      </c>
      <c r="FD26" s="233">
        <v>105</v>
      </c>
      <c r="FE26" t="s">
        <v>265</v>
      </c>
      <c r="FF26"/>
      <c r="FG26"/>
    </row>
    <row r="27" spans="1:163">
      <c r="A27" s="130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46">
        <v>0.26458333333333334</v>
      </c>
      <c r="G27" s="156">
        <v>0.7680555555555556</v>
      </c>
      <c r="H27" s="121">
        <v>9254.1</v>
      </c>
      <c r="I27" s="121">
        <v>9204</v>
      </c>
      <c r="J27" s="121">
        <v>8747.7000000000007</v>
      </c>
      <c r="K27" s="121">
        <v>8833.2000000000007</v>
      </c>
      <c r="L27" s="121">
        <v>9063.9</v>
      </c>
      <c r="M27" s="121">
        <v>9292</v>
      </c>
      <c r="N27" s="121">
        <v>9027.5</v>
      </c>
      <c r="O27" s="121">
        <v>9599.5</v>
      </c>
      <c r="P27" s="121">
        <v>9009.4</v>
      </c>
      <c r="Q27" s="121">
        <v>8967.2999999999993</v>
      </c>
      <c r="R27" s="121">
        <v>9252.2000000000007</v>
      </c>
      <c r="S27" s="121">
        <v>9201.5</v>
      </c>
      <c r="T27" s="121">
        <v>9482.5</v>
      </c>
      <c r="U27" s="121">
        <v>9265.7999999999993</v>
      </c>
      <c r="V27" s="121">
        <v>9353.2000000000007</v>
      </c>
      <c r="W27" s="121">
        <v>9188.5</v>
      </c>
      <c r="X27" s="192">
        <v>12988.5</v>
      </c>
      <c r="Y27" s="192">
        <v>13874.6</v>
      </c>
      <c r="Z27" s="192">
        <v>12635</v>
      </c>
      <c r="AA27" s="192">
        <v>13027.4</v>
      </c>
      <c r="AB27" s="192">
        <v>13729.1</v>
      </c>
      <c r="AC27" s="192">
        <v>8605.6</v>
      </c>
      <c r="AD27" s="192">
        <v>13040.4</v>
      </c>
      <c r="AE27" s="192">
        <v>13113.4</v>
      </c>
      <c r="AF27" s="192">
        <v>12883.4</v>
      </c>
      <c r="AG27" s="192">
        <v>12816</v>
      </c>
      <c r="AH27" s="192">
        <v>12984.2</v>
      </c>
      <c r="AI27" s="192">
        <v>13072.4</v>
      </c>
      <c r="AJ27" s="136">
        <v>10866.1</v>
      </c>
      <c r="AK27" s="136">
        <v>11126.3</v>
      </c>
      <c r="AL27" s="136">
        <v>10806.9</v>
      </c>
      <c r="AM27" s="136">
        <v>10863.8</v>
      </c>
      <c r="AN27" s="136">
        <v>10970.4</v>
      </c>
      <c r="AO27" s="136">
        <v>11279.9</v>
      </c>
      <c r="AP27" s="136">
        <v>11122.2</v>
      </c>
      <c r="AQ27" s="136">
        <v>10982.4</v>
      </c>
      <c r="AR27" s="136">
        <v>8873.2999999999993</v>
      </c>
      <c r="AS27" s="136">
        <v>8924.2999999999993</v>
      </c>
      <c r="AT27" s="136">
        <v>8981</v>
      </c>
      <c r="AU27" s="136">
        <v>8895.2000000000007</v>
      </c>
      <c r="AV27" s="136">
        <v>9091.7000000000007</v>
      </c>
      <c r="AW27" s="136">
        <v>8990.1</v>
      </c>
      <c r="AX27" s="136">
        <v>12625.1</v>
      </c>
      <c r="AY27" s="136">
        <v>13614.6</v>
      </c>
      <c r="AZ27" s="136">
        <v>10196.6</v>
      </c>
      <c r="BA27" s="136">
        <v>12234</v>
      </c>
      <c r="BB27" s="136">
        <v>12486.2</v>
      </c>
      <c r="BC27" s="136">
        <v>9353.4</v>
      </c>
      <c r="BD27" s="136">
        <v>10022</v>
      </c>
      <c r="BE27" s="136">
        <v>12126.5</v>
      </c>
      <c r="BF27" s="136">
        <v>12948.2</v>
      </c>
      <c r="BG27" s="136">
        <v>12924.6</v>
      </c>
      <c r="BH27" s="136">
        <v>7910</v>
      </c>
      <c r="BI27" s="136">
        <v>4852.8</v>
      </c>
      <c r="BJ27" s="136">
        <v>8060.5</v>
      </c>
      <c r="BK27" s="136">
        <v>4622.2</v>
      </c>
      <c r="BL27" s="136">
        <v>8032.7</v>
      </c>
      <c r="BM27" s="136">
        <v>7422.5</v>
      </c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59">
        <v>7.4408317166666675</v>
      </c>
      <c r="CE27" s="59"/>
      <c r="CF27" s="195">
        <v>7.3981508166666661</v>
      </c>
      <c r="CG27" s="195"/>
      <c r="CH27" s="195">
        <v>0.96290266666666546</v>
      </c>
      <c r="CI27" s="195"/>
      <c r="CJ27" s="59">
        <v>1.4598083333333318</v>
      </c>
      <c r="CK27" s="59"/>
      <c r="CL27" s="195">
        <v>32.920486061472424</v>
      </c>
      <c r="CM27" s="195"/>
      <c r="CN27" s="195">
        <v>44.980195139385259</v>
      </c>
      <c r="CO27" s="195"/>
      <c r="CP27" s="195">
        <v>27.418513223731264</v>
      </c>
      <c r="CQ27" s="195"/>
      <c r="CR27" s="59">
        <v>0</v>
      </c>
      <c r="CS27" s="59"/>
      <c r="CT27" s="195">
        <v>1.3652423159399565</v>
      </c>
      <c r="CU27" s="195"/>
      <c r="CV27" s="195">
        <v>2.9910000000000001</v>
      </c>
      <c r="CW27" s="247"/>
      <c r="CX27" s="193">
        <f>IFERROR(AVERAGEIF(RD[[#This Row],[IS1POA1 (KWh/m2)]:[IS7POA2 (KWh/m2)]],"&lt;&gt;0",RD[[#This Row],[IS1POA1 (KWh/m2)]:[IS7POA2 (KWh/m2)]]),"")</f>
        <v>7.4408317166666675</v>
      </c>
      <c r="CY27" s="193">
        <f>IFERROR(AVERAGEIF(RD[[#This Row],[IS1GHI1 (KWh/m2)]:[IS7GHI2 (KWh/m2)]],"&lt;&gt;0",RD[[#This Row],[IS1GHI1 (KWh/m2)]:[IS7GHI2 (KWh/m2)]]),"")</f>
        <v>7.3981508166666661</v>
      </c>
      <c r="CZ27" s="193">
        <f>IFERROR(AVERAGEIF(RD[[#This Row],[IS1POA_BS1 (KWh/m2)]:[IS7POA_BS2 (KWh/m2)]],"&lt;&gt;0",RD[[#This Row],[IS1POA_BS1 (KWh/m2)]:[IS7POA_BS2 (KWh/m2)]]),"")</f>
        <v>0.96290266666666546</v>
      </c>
      <c r="DA27" s="193">
        <f>IFERROR(AVERAGEIF(RD[[#This Row],[IS1GHI_BS1 (KWh/m2)]:[IS1GHI_BS1 (KWh/m2)2]],"&lt;&gt;0",RD[[#This Row],[IS1GHI_BS1 (KWh/m2)]:[IS1GHI_BS1 (KWh/m2)2]]),"")</f>
        <v>1.4598083333333318</v>
      </c>
      <c r="DB27" s="193">
        <f>IFERROR(AVERAGEIF(RD[[#This Row],[IS1AT1 (°C)]:[IS7AT2 (°C)]],"&lt;&gt;0",RD[[#This Row],[IS1AT1 (°C)]:[IS7AT2 (°C)]]),"")</f>
        <v>32.920486061472424</v>
      </c>
      <c r="DC27" s="193">
        <f>IFERROR(AVERAGEIF(RD[[#This Row],[IS1MT1 (°C)]:[IS7MT2 (°C)]],"&lt;&gt;0",RD[[#This Row],[IS1MT1 (°C)]:[IS7MT2 (°C)]]),"")</f>
        <v>44.980195139385259</v>
      </c>
      <c r="DD27" s="193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193">
        <f>IFERROR(AVERAGEIF(RD[[#This Row],[WS_Solar1_Avg (m/s)]:[IS7_WS_Solar1_Avg (m/s)]],"&lt;&gt;0",RD[[#This Row],[WS_Solar1_Avg (m/s)]:[IS7_WS_Solar1_Avg (m/s)]]),"")</f>
        <v>1.3652423159399565</v>
      </c>
      <c r="DG27" s="193">
        <f>IFERROR(AVERAGEIF(RD[[#This Row],[WS_Solar1_Max (m/s)]:[IS7_WS_Solar1_Max (m/s)]],"&lt;&gt;0",RD[[#This Row],[WS_Solar1_Max (m/s)]:[IS7_WS_Solar1_Max (m/s)]]),"")</f>
        <v>2.9910000000000001</v>
      </c>
      <c r="DH27" s="193">
        <f>SUM(RD[[#This Row],[IS1Inv1M1]:[IS4Inv4M2]])</f>
        <v>299512.3</v>
      </c>
      <c r="DI27" s="194">
        <f>SUM(RD[[#This Row],[IS7Inv1M1]]+RD[[#This Row],[IS7Inv2M1]])</f>
        <v>17797.599999999999</v>
      </c>
      <c r="DJ27" s="193">
        <f>SUM(RD[[#This Row],[IS5Inv1M1]:[IS5Inv2M2]])</f>
        <v>43663.100000000006</v>
      </c>
      <c r="DK27" s="193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75">
        <f>SUM(RD[[#This Row],[IS12Inv1M1]:[IS12Inv1M4]])</f>
        <v>0</v>
      </c>
      <c r="DO27" s="275">
        <f>SUM(RD[[#This Row],[IS13Inv1M1]:[IS13Inv2M2]])</f>
        <v>0</v>
      </c>
      <c r="DP27" s="193">
        <f>SUM(RD[[#This Row],[O2R15]:[O2R26]])</f>
        <v>600717.80000000005</v>
      </c>
      <c r="DQ27" s="158">
        <v>37174.699999999997</v>
      </c>
      <c r="DR27" s="162">
        <v>202.5</v>
      </c>
      <c r="DS27" s="158">
        <v>31929.9</v>
      </c>
      <c r="DT27" s="158">
        <v>214.9</v>
      </c>
      <c r="DU27" s="162">
        <v>36740.300000000003</v>
      </c>
      <c r="DV27" s="162">
        <v>386.8</v>
      </c>
      <c r="DW27" s="158">
        <v>4951.3999999999996</v>
      </c>
      <c r="DX27" s="162">
        <v>22.6</v>
      </c>
      <c r="DY27" s="162"/>
      <c r="DZ27" s="162"/>
      <c r="EA27" s="134">
        <v>88.25</v>
      </c>
      <c r="EB27" s="230">
        <v>112322347</v>
      </c>
      <c r="EC27" s="229">
        <v>876825.28</v>
      </c>
      <c r="ED27" s="230">
        <v>1048</v>
      </c>
      <c r="EE27" s="230">
        <v>106676</v>
      </c>
      <c r="EF27" s="158">
        <v>155811.5</v>
      </c>
      <c r="EG27" s="158">
        <v>1730.7</v>
      </c>
      <c r="EH27" s="140">
        <f>IF((RD[[#This Row],[33 kV_F3_Ex
Incomer1]]-DQ26)*1000&lt;0,0,(RD[[#This Row],[33 kV_F3_Ex
Incomer1]]-DQ26)*1000)</f>
        <v>101899.99999999418</v>
      </c>
      <c r="EI27" s="140">
        <f>IF((RD[[#This Row],[34 kV_F3_Im
Incomer1]]-DR26)*1000&lt;0,0,(RD[[#This Row],[34 kV_F3_Im
Incomer1]]-DR26)*1000)</f>
        <v>199.99999999998863</v>
      </c>
      <c r="EJ27" s="140">
        <f>IF((RD[[#This Row],[33 kV_F4_Ex
Incomer2]]-DS26)*1000&lt;0,0,(RD[[#This Row],[33 kV_F4_Ex
Incomer2]]-DS26)*1000)</f>
        <v>95500</v>
      </c>
      <c r="EK27" s="140">
        <f>IF((RD[[#This Row],[34 kV_F4_Im
Incomer2]]-DT26)*1000&lt;0,0,(RD[[#This Row],[34 kV_F4_Im
Incomer2]]-DT26)*1000)</f>
        <v>99.999999999994316</v>
      </c>
      <c r="EL27" s="140">
        <f>IF((RD[[#This Row],[33 kV_F5_Ex
Incomer3]]-DU26)*1000&lt;0,0,(RD[[#This Row],[33 kV_F5_Ex
Incomer3]]-DU26)*1000)</f>
        <v>125900.00000000146</v>
      </c>
      <c r="EM27" s="140">
        <f>IF((RD[[#This Row],[34 kV_F5_Im
Incomer3]]-DV26)*1000&lt;0,0,(RD[[#This Row],[34 kV_F5_Im
Incomer3]]-DV26)*1000)</f>
        <v>400.00000000003411</v>
      </c>
      <c r="EN27" s="140">
        <f>IF((RD[[#This Row],[33 kV_F6_Ex
Incomer4]]-DW26)*1000&lt;0,0,(RD[[#This Row],[33 kV_F6_Ex
Incomer4]]-DW26)*1000)</f>
        <v>103000</v>
      </c>
      <c r="EO27" s="140">
        <f>IF((RD[[#This Row],[33 kV_F6_Im
Incomer4]]-DX26)*1000&lt;0,0,(RD[[#This Row],[33 kV_F6_Im
Incomer4]]-DX26)*1000)</f>
        <v>100.00000000000142</v>
      </c>
      <c r="EP27" s="140">
        <f>IF((RD[[#This Row],[33 kV_F7_Ex
Incomer5]]-DY26)*1000&lt;0,0,(RD[[#This Row],[33 kV_F7_Ex
Incomer5]]-DY26)*1000)</f>
        <v>0</v>
      </c>
      <c r="EQ27" s="140">
        <f>IF((RD[[#This Row],[33 kV_F7_Im
Incomer5]]-DZ26)*1000&lt;0,0,(RD[[#This Row],[33 kV_F7_Im
Incomer5]]-DZ26)*1000)</f>
        <v>0</v>
      </c>
      <c r="ER27" s="140">
        <f>IF((RD[[#This Row],[33 kV_Aux Trafo]]-EA26)*1000&lt;0,0,(RD[[#This Row],[33 kV_Aux Trafo]]-EA26)*1000)</f>
        <v>159.99999999999659</v>
      </c>
      <c r="ES27" s="152">
        <f>IF((RD[[#This Row],[33kV_OG1_Ex_]]-EB26)*1&lt;0,0,(RD[[#This Row],[33kV_OG1_Ex_]]-EB26)*1)</f>
        <v>635093</v>
      </c>
      <c r="ET27" s="140">
        <f>IF((RD[[#This Row],[33kV_OG1_Im]]-EC26)*1&lt;0,0,(RD[[#This Row],[33kV_OG1_Im]]-EC26)*1)</f>
        <v>1204.7340000000549</v>
      </c>
      <c r="EU27" s="140">
        <f>IF((RD[[#This Row],[132kV_TX1_EX]]-ED26)*720&lt;=0,"",(RD[[#This Row],[132kV_TX1_EX]]-ED26)*720)</f>
        <v>720</v>
      </c>
      <c r="EV27" s="140">
        <f>IF((RD[[#This Row],[132 kV_Tx1_Im]]-EE26)*720&lt;=0,0,(RD[[#This Row],[132 kV_Tx1_Im]]-EE26)*720)</f>
        <v>455040</v>
      </c>
      <c r="EW27" s="140">
        <f>IF((RD[[#This Row],[132kV_L1_Ex]]-EF26)*720&lt;=0,0,(RD[[#This Row],[132kV_L1_Ex]]-EF26)*720)</f>
        <v>632880</v>
      </c>
      <c r="EX27" s="140">
        <f>IF((RD[[#This Row],[132kV_L1_Im]]-EG26)*720&lt;=0,0,(RD[[#This Row],[132kV_L1_Im]]-EG26)*720)</f>
        <v>1584.0000000000327</v>
      </c>
      <c r="EY27" s="231">
        <f>IFERROR(RD[[#This Row],[33kV_OG1_Ex (MWh)]]+RD[[#This Row],[33kV_OG1_Im (MWh)]],"")</f>
        <v>636297.73400000005</v>
      </c>
      <c r="EZ27" s="142">
        <f>RD[[#This Row],[33kV_OG1_Ex (MWh)]]-RD[[#This Row],[33kV_OG1_Im (MWh)]]</f>
        <v>633888.26599999995</v>
      </c>
      <c r="FA27" s="142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32">
        <f>IFERROR((RD[[#This Row],[Sunset Time (POA&lt;20 W/m2)]]-RD[[#This Row],[Sunrise Time (POA&gt;20 W/m2)]])*24,0)</f>
        <v>12.083333333333336</v>
      </c>
      <c r="FD27" s="233">
        <v>105</v>
      </c>
      <c r="FE27" t="s">
        <v>268</v>
      </c>
      <c r="FF27"/>
      <c r="FG27"/>
    </row>
    <row r="28" spans="1:163">
      <c r="A28" s="130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46">
        <v>0.26319444444444445</v>
      </c>
      <c r="G28" s="156">
        <v>0.7680555555555556</v>
      </c>
      <c r="H28" s="121">
        <v>9143.4</v>
      </c>
      <c r="I28" s="121">
        <v>9125.4</v>
      </c>
      <c r="J28" s="121">
        <v>8682.1</v>
      </c>
      <c r="K28" s="121">
        <v>8785</v>
      </c>
      <c r="L28" s="121">
        <v>8994.9</v>
      </c>
      <c r="M28" s="121">
        <v>9195.1</v>
      </c>
      <c r="N28" s="121">
        <v>8949.1</v>
      </c>
      <c r="O28" s="121">
        <v>9504</v>
      </c>
      <c r="P28" s="121">
        <v>8944</v>
      </c>
      <c r="Q28" s="121">
        <v>8888</v>
      </c>
      <c r="R28" s="121">
        <v>9192</v>
      </c>
      <c r="S28" s="121">
        <v>9124.1</v>
      </c>
      <c r="T28" s="121">
        <v>9400.7999999999993</v>
      </c>
      <c r="U28" s="121">
        <v>9224.5</v>
      </c>
      <c r="V28" s="121">
        <v>9276.2999999999993</v>
      </c>
      <c r="W28" s="121">
        <v>9101.2999999999993</v>
      </c>
      <c r="X28" s="192">
        <v>10730.3</v>
      </c>
      <c r="Y28" s="192">
        <v>11509.4</v>
      </c>
      <c r="Z28" s="192">
        <v>11338.8</v>
      </c>
      <c r="AA28" s="192">
        <v>11696.2</v>
      </c>
      <c r="AB28" s="192">
        <v>11883</v>
      </c>
      <c r="AC28" s="192">
        <v>7362.3</v>
      </c>
      <c r="AD28" s="192">
        <v>12432.1</v>
      </c>
      <c r="AE28" s="192">
        <v>12497.3</v>
      </c>
      <c r="AF28" s="192">
        <v>10717.9</v>
      </c>
      <c r="AG28" s="192">
        <v>10781.8</v>
      </c>
      <c r="AH28" s="192">
        <v>10671.4</v>
      </c>
      <c r="AI28" s="192">
        <v>10771.6</v>
      </c>
      <c r="AJ28" s="136">
        <v>10702</v>
      </c>
      <c r="AK28" s="136">
        <v>11003</v>
      </c>
      <c r="AL28" s="136">
        <v>10189</v>
      </c>
      <c r="AM28" s="136">
        <v>10203</v>
      </c>
      <c r="AN28" s="136">
        <v>10716</v>
      </c>
      <c r="AO28" s="136">
        <v>11013</v>
      </c>
      <c r="AP28" s="136">
        <v>10774</v>
      </c>
      <c r="AQ28" s="136">
        <v>10641</v>
      </c>
      <c r="AR28" s="136">
        <v>9122</v>
      </c>
      <c r="AS28" s="136">
        <v>8791</v>
      </c>
      <c r="AT28" s="136">
        <v>8844.1</v>
      </c>
      <c r="AU28" s="136">
        <v>8803.4</v>
      </c>
      <c r="AV28" s="136">
        <v>8973.6</v>
      </c>
      <c r="AW28" s="136">
        <v>8831.6</v>
      </c>
      <c r="AX28" s="136">
        <v>10414.9</v>
      </c>
      <c r="AY28" s="136">
        <v>11284</v>
      </c>
      <c r="AZ28" s="136">
        <v>7961</v>
      </c>
      <c r="BA28" s="136">
        <v>9544.0990000000002</v>
      </c>
      <c r="BB28" s="136">
        <v>12609.2</v>
      </c>
      <c r="BC28" s="136">
        <v>9952</v>
      </c>
      <c r="BD28" s="136">
        <v>9842.6</v>
      </c>
      <c r="BE28" s="136">
        <v>11868.1</v>
      </c>
      <c r="BF28" s="136">
        <v>12852.1</v>
      </c>
      <c r="BG28" s="136">
        <v>12839.1</v>
      </c>
      <c r="BH28" s="136">
        <v>7812.9</v>
      </c>
      <c r="BI28" s="136">
        <v>4770</v>
      </c>
      <c r="BJ28" s="136">
        <v>7969.2</v>
      </c>
      <c r="BK28" s="136">
        <v>5005</v>
      </c>
      <c r="BL28" s="136">
        <v>7949</v>
      </c>
      <c r="BM28" s="136">
        <v>7337.6</v>
      </c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59">
        <v>7.0776942666666569</v>
      </c>
      <c r="CE28" s="59"/>
      <c r="CF28" s="195">
        <v>7.0362274333333339</v>
      </c>
      <c r="CG28" s="195"/>
      <c r="CH28" s="195">
        <v>0.94385484999999969</v>
      </c>
      <c r="CI28" s="195"/>
      <c r="CJ28" s="59">
        <v>1.3952645166666668</v>
      </c>
      <c r="CK28" s="59"/>
      <c r="CL28" s="195">
        <v>32.514258351893069</v>
      </c>
      <c r="CM28" s="195"/>
      <c r="CN28" s="195">
        <v>44.512149962880457</v>
      </c>
      <c r="CO28" s="195"/>
      <c r="CP28" s="195">
        <v>25.267804008908666</v>
      </c>
      <c r="CQ28" s="195"/>
      <c r="CR28" s="59">
        <v>0</v>
      </c>
      <c r="CS28" s="59"/>
      <c r="CT28" s="195">
        <v>1.0995263548626577</v>
      </c>
      <c r="CU28" s="195"/>
      <c r="CV28" s="195">
        <v>2.4569999999999999</v>
      </c>
      <c r="CW28" s="247"/>
      <c r="CX28" s="193">
        <f>IFERROR(AVERAGEIF(RD[[#This Row],[IS1POA1 (KWh/m2)]:[IS7POA2 (KWh/m2)]],"&lt;&gt;0",RD[[#This Row],[IS1POA1 (KWh/m2)]:[IS7POA2 (KWh/m2)]]),"")</f>
        <v>7.0776942666666569</v>
      </c>
      <c r="CY28" s="193">
        <f>IFERROR(AVERAGEIF(RD[[#This Row],[IS1GHI1 (KWh/m2)]:[IS7GHI2 (KWh/m2)]],"&lt;&gt;0",RD[[#This Row],[IS1GHI1 (KWh/m2)]:[IS7GHI2 (KWh/m2)]]),"")</f>
        <v>7.0362274333333339</v>
      </c>
      <c r="CZ28" s="193">
        <f>IFERROR(AVERAGEIF(RD[[#This Row],[IS1POA_BS1 (KWh/m2)]:[IS7POA_BS2 (KWh/m2)]],"&lt;&gt;0",RD[[#This Row],[IS1POA_BS1 (KWh/m2)]:[IS7POA_BS2 (KWh/m2)]]),"")</f>
        <v>0.94385484999999969</v>
      </c>
      <c r="DA28" s="193">
        <f>IFERROR(AVERAGEIF(RD[[#This Row],[IS1GHI_BS1 (KWh/m2)]:[IS1GHI_BS1 (KWh/m2)2]],"&lt;&gt;0",RD[[#This Row],[IS1GHI_BS1 (KWh/m2)]:[IS1GHI_BS1 (KWh/m2)2]]),"")</f>
        <v>1.3952645166666668</v>
      </c>
      <c r="DB28" s="193">
        <f>IFERROR(AVERAGEIF(RD[[#This Row],[IS1AT1 (°C)]:[IS7AT2 (°C)]],"&lt;&gt;0",RD[[#This Row],[IS1AT1 (°C)]:[IS7AT2 (°C)]]),"")</f>
        <v>32.514258351893069</v>
      </c>
      <c r="DC28" s="193">
        <f>IFERROR(AVERAGEIF(RD[[#This Row],[IS1MT1 (°C)]:[IS7MT2 (°C)]],"&lt;&gt;0",RD[[#This Row],[IS1MT1 (°C)]:[IS7MT2 (°C)]]),"")</f>
        <v>44.512149962880457</v>
      </c>
      <c r="DD28" s="193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193">
        <f>IFERROR(AVERAGEIF(RD[[#This Row],[WS_Solar1_Avg (m/s)]:[IS7_WS_Solar1_Avg (m/s)]],"&lt;&gt;0",RD[[#This Row],[WS_Solar1_Avg (m/s)]:[IS7_WS_Solar1_Avg (m/s)]]),"")</f>
        <v>1.0995263548626577</v>
      </c>
      <c r="DG28" s="193">
        <f>IFERROR(AVERAGEIF(RD[[#This Row],[WS_Solar1_Max (m/s)]:[IS7_WS_Solar1_Max (m/s)]],"&lt;&gt;0",RD[[#This Row],[WS_Solar1_Max (m/s)]:[IS7_WS_Solar1_Max (m/s)]]),"")</f>
        <v>2.4569999999999999</v>
      </c>
      <c r="DH28" s="193">
        <f>SUM(RD[[#This Row],[IS1Inv1M1]:[IS4Inv4M2]])</f>
        <v>277922.09999999992</v>
      </c>
      <c r="DI28" s="194">
        <f>SUM(RD[[#This Row],[IS7Inv1M1]]+RD[[#This Row],[IS7Inv2M1]])</f>
        <v>17913</v>
      </c>
      <c r="DJ28" s="193">
        <f>SUM(RD[[#This Row],[IS5Inv1M1]:[IS5Inv2M2]])</f>
        <v>42097</v>
      </c>
      <c r="DK28" s="193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75">
        <f>SUM(RD[[#This Row],[IS12Inv1M1]:[IS12Inv1M4]])</f>
        <v>0</v>
      </c>
      <c r="DO28" s="275">
        <f>SUM(RD[[#This Row],[IS13Inv1M1]:[IS13Inv2M2]])</f>
        <v>0</v>
      </c>
      <c r="DP28" s="193">
        <f>SUM(RD[[#This Row],[O2R15]:[O2R26]])</f>
        <v>566539.59899999993</v>
      </c>
      <c r="DQ28" s="158">
        <v>37275.199999999997</v>
      </c>
      <c r="DR28" s="162">
        <v>202.8</v>
      </c>
      <c r="DS28" s="158">
        <v>32024.9</v>
      </c>
      <c r="DT28" s="158">
        <v>215.2</v>
      </c>
      <c r="DU28" s="162">
        <v>36864.5</v>
      </c>
      <c r="DV28" s="162">
        <v>387.2</v>
      </c>
      <c r="DW28" s="158">
        <v>5054.3</v>
      </c>
      <c r="DX28" s="162">
        <v>22.8</v>
      </c>
      <c r="DY28" s="162"/>
      <c r="DZ28" s="162"/>
      <c r="EA28" s="134">
        <v>88.44</v>
      </c>
      <c r="EB28" s="230">
        <v>112951762</v>
      </c>
      <c r="EC28" s="229">
        <v>878577.08799999999</v>
      </c>
      <c r="ED28" s="230">
        <v>1050</v>
      </c>
      <c r="EE28" s="230">
        <v>107303</v>
      </c>
      <c r="EF28" s="158">
        <v>156682.20000000001</v>
      </c>
      <c r="EG28" s="158">
        <v>1733.8</v>
      </c>
      <c r="EH28" s="140">
        <f>IF((RD[[#This Row],[33 kV_F3_Ex
Incomer1]]-DQ27)*1000&lt;0,0,(RD[[#This Row],[33 kV_F3_Ex
Incomer1]]-DQ27)*1000)</f>
        <v>100500</v>
      </c>
      <c r="EI28" s="140">
        <f>IF((RD[[#This Row],[34 kV_F3_Im
Incomer1]]-DR27)*1000&lt;0,0,(RD[[#This Row],[34 kV_F3_Im
Incomer1]]-DR27)*1000)</f>
        <v>300.00000000001137</v>
      </c>
      <c r="EJ28" s="140">
        <f>IF((RD[[#This Row],[33 kV_F4_Ex
Incomer2]]-DS27)*1000&lt;0,0,(RD[[#This Row],[33 kV_F4_Ex
Incomer2]]-DS27)*1000)</f>
        <v>95000</v>
      </c>
      <c r="EK28" s="140">
        <f>IF((RD[[#This Row],[34 kV_F4_Im
Incomer2]]-DT27)*1000&lt;0,0,(RD[[#This Row],[34 kV_F4_Im
Incomer2]]-DT27)*1000)</f>
        <v>299.99999999998295</v>
      </c>
      <c r="EL28" s="140">
        <f>IF((RD[[#This Row],[33 kV_F5_Ex
Incomer3]]-DU27)*1000&lt;0,0,(RD[[#This Row],[33 kV_F5_Ex
Incomer3]]-DU27)*1000)</f>
        <v>124199.99999999709</v>
      </c>
      <c r="EM28" s="140">
        <f>IF((RD[[#This Row],[34 kV_F5_Im
Incomer3]]-DV27)*1000&lt;0,0,(RD[[#This Row],[34 kV_F5_Im
Incomer3]]-DV27)*1000)</f>
        <v>399.99999999997726</v>
      </c>
      <c r="EN28" s="140">
        <f>IF((RD[[#This Row],[33 kV_F6_Ex
Incomer4]]-DW27)*1000&lt;0,0,(RD[[#This Row],[33 kV_F6_Ex
Incomer4]]-DW27)*1000)</f>
        <v>102900.00000000055</v>
      </c>
      <c r="EO28" s="140">
        <f>IF((RD[[#This Row],[33 kV_F6_Im
Incomer4]]-DX27)*1000&lt;0,0,(RD[[#This Row],[33 kV_F6_Im
Incomer4]]-DX27)*1000)</f>
        <v>199.99999999999929</v>
      </c>
      <c r="EP28" s="140">
        <f>IF((RD[[#This Row],[33 kV_F7_Ex
Incomer5]]-DY27)*1000&lt;0,0,(RD[[#This Row],[33 kV_F7_Ex
Incomer5]]-DY27)*1000)</f>
        <v>0</v>
      </c>
      <c r="EQ28" s="140">
        <f>IF((RD[[#This Row],[33 kV_F7_Im
Incomer5]]-DZ27)*1000&lt;0,0,(RD[[#This Row],[33 kV_F7_Im
Incomer5]]-DZ27)*1000)</f>
        <v>0</v>
      </c>
      <c r="ER28" s="140">
        <f>IF((RD[[#This Row],[33 kV_Aux Trafo]]-EA27)*1000&lt;0,0,(RD[[#This Row],[33 kV_Aux Trafo]]-EA27)*1000)</f>
        <v>189.99999999999773</v>
      </c>
      <c r="ES28" s="152">
        <f>IF((RD[[#This Row],[33kV_OG1_Ex_]]-EB27)*1&lt;0,0,(RD[[#This Row],[33kV_OG1_Ex_]]-EB27)*1)</f>
        <v>629415</v>
      </c>
      <c r="ET28" s="140">
        <f>IF((RD[[#This Row],[33kV_OG1_Im]]-EC27)*1&lt;0,0,(RD[[#This Row],[33kV_OG1_Im]]-EC27)*1)</f>
        <v>1751.8079999999609</v>
      </c>
      <c r="EU28" s="140">
        <f>IF((RD[[#This Row],[132kV_TX1_EX]]-ED27)*720&lt;=0,"",(RD[[#This Row],[132kV_TX1_EX]]-ED27)*720)</f>
        <v>1440</v>
      </c>
      <c r="EV28" s="140">
        <f>IF((RD[[#This Row],[132 kV_Tx1_Im]]-EE27)*720&lt;=0,0,(RD[[#This Row],[132 kV_Tx1_Im]]-EE27)*720)</f>
        <v>451440</v>
      </c>
      <c r="EW28" s="140">
        <f>IF((RD[[#This Row],[132kV_L1_Ex]]-EF27)*720&lt;=0,0,(RD[[#This Row],[132kV_L1_Ex]]-EF27)*720)</f>
        <v>626904.00000000838</v>
      </c>
      <c r="EX28" s="140">
        <f>IF((RD[[#This Row],[132kV_L1_Im]]-EG27)*720&lt;=0,0,(RD[[#This Row],[132kV_L1_Im]]-EG27)*720)</f>
        <v>2231.9999999999345</v>
      </c>
      <c r="EY28" s="231">
        <f>IFERROR(RD[[#This Row],[33kV_OG1_Ex (MWh)]]+RD[[#This Row],[33kV_OG1_Im (MWh)]],"")</f>
        <v>631166.80799999996</v>
      </c>
      <c r="EZ28" s="142">
        <f>RD[[#This Row],[33kV_OG1_Ex (MWh)]]-RD[[#This Row],[33kV_OG1_Im (MWh)]]</f>
        <v>627663.19200000004</v>
      </c>
      <c r="FA28" s="142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32">
        <f>IFERROR((RD[[#This Row],[Sunset Time (POA&lt;20 W/m2)]]-RD[[#This Row],[Sunrise Time (POA&gt;20 W/m2)]])*24,0)</f>
        <v>12.116666666666669</v>
      </c>
      <c r="FD28" s="233">
        <v>105</v>
      </c>
      <c r="FE28" t="s">
        <v>268</v>
      </c>
      <c r="FF28"/>
      <c r="FG28"/>
    </row>
    <row r="29" spans="1:163">
      <c r="A29" s="130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46">
        <v>0.26250000000000001</v>
      </c>
      <c r="G29" s="156">
        <v>0.7680555555555556</v>
      </c>
      <c r="H29" s="121">
        <v>9033.2999999999993</v>
      </c>
      <c r="I29" s="121">
        <v>9013.2000000000007</v>
      </c>
      <c r="J29" s="121">
        <v>8619.5</v>
      </c>
      <c r="K29" s="121">
        <v>8675.7999999999993</v>
      </c>
      <c r="L29" s="121">
        <v>8903.9</v>
      </c>
      <c r="M29" s="121">
        <v>9112.5</v>
      </c>
      <c r="N29" s="121">
        <v>8875.4</v>
      </c>
      <c r="O29" s="121">
        <v>9372.2999999999993</v>
      </c>
      <c r="P29" s="121">
        <v>8854.2999999999993</v>
      </c>
      <c r="Q29" s="121">
        <v>8824.2000000000007</v>
      </c>
      <c r="R29" s="121">
        <v>9102.7999999999993</v>
      </c>
      <c r="S29" s="121">
        <v>9038.1</v>
      </c>
      <c r="T29" s="121">
        <v>9285.1</v>
      </c>
      <c r="U29" s="121">
        <v>9102.4</v>
      </c>
      <c r="V29" s="121">
        <v>9165.2999999999993</v>
      </c>
      <c r="W29" s="121">
        <v>9003</v>
      </c>
      <c r="X29" s="192">
        <v>12989</v>
      </c>
      <c r="Y29" s="192">
        <v>13875</v>
      </c>
      <c r="Z29" s="192">
        <v>12297.8</v>
      </c>
      <c r="AA29" s="192">
        <v>12775.3</v>
      </c>
      <c r="AB29" s="192">
        <v>13407.8</v>
      </c>
      <c r="AC29" s="192">
        <v>8263.7999999999993</v>
      </c>
      <c r="AD29" s="192">
        <v>12781.9</v>
      </c>
      <c r="AE29" s="192">
        <v>12844.6</v>
      </c>
      <c r="AF29" s="192">
        <v>12557.6</v>
      </c>
      <c r="AG29" s="192">
        <v>12615</v>
      </c>
      <c r="AH29" s="192">
        <v>12681.2</v>
      </c>
      <c r="AI29" s="192">
        <v>12813.7</v>
      </c>
      <c r="AJ29" s="136">
        <v>10501.5</v>
      </c>
      <c r="AK29" s="136">
        <v>10802.8</v>
      </c>
      <c r="AL29" s="136">
        <v>10595.6</v>
      </c>
      <c r="AM29" s="136">
        <v>10664.9</v>
      </c>
      <c r="AN29" s="136">
        <v>10560.6</v>
      </c>
      <c r="AO29" s="136">
        <v>10860.6</v>
      </c>
      <c r="AP29" s="136">
        <v>10703.3</v>
      </c>
      <c r="AQ29" s="136">
        <v>10574.7</v>
      </c>
      <c r="AR29" s="136">
        <v>8611.4</v>
      </c>
      <c r="AS29" s="136">
        <v>8668</v>
      </c>
      <c r="AT29" s="136">
        <v>8769.1</v>
      </c>
      <c r="AU29" s="136">
        <v>8758.7999999999993</v>
      </c>
      <c r="AV29" s="136">
        <v>8902.7999999999993</v>
      </c>
      <c r="AW29" s="136">
        <v>8754.7000000000007</v>
      </c>
      <c r="AX29" s="136">
        <v>10642.6</v>
      </c>
      <c r="AY29" s="136">
        <v>11602.3</v>
      </c>
      <c r="AZ29" s="136">
        <v>8294</v>
      </c>
      <c r="BA29" s="136">
        <v>9937</v>
      </c>
      <c r="BB29" s="136">
        <v>12365.5</v>
      </c>
      <c r="BC29" s="136">
        <v>9355</v>
      </c>
      <c r="BD29" s="136">
        <v>9692.2000000000007</v>
      </c>
      <c r="BE29" s="136">
        <v>11647</v>
      </c>
      <c r="BF29" s="136">
        <v>12656.9</v>
      </c>
      <c r="BG29" s="136">
        <v>12669.7</v>
      </c>
      <c r="BH29" s="136">
        <v>7693.7</v>
      </c>
      <c r="BI29" s="136">
        <v>4670</v>
      </c>
      <c r="BJ29" s="136">
        <v>7779.9</v>
      </c>
      <c r="BK29" s="136">
        <v>5429.2</v>
      </c>
      <c r="BL29" s="136">
        <v>7817.1</v>
      </c>
      <c r="BM29" s="136">
        <v>7208.8</v>
      </c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59">
        <v>7.3124169833333426</v>
      </c>
      <c r="CE29" s="59"/>
      <c r="CF29" s="195">
        <v>7.2761967333333297</v>
      </c>
      <c r="CG29" s="195"/>
      <c r="CH29" s="195">
        <v>0.97527401666666591</v>
      </c>
      <c r="CI29" s="195"/>
      <c r="CJ29" s="59">
        <v>1.4461927166666662</v>
      </c>
      <c r="CK29" s="59"/>
      <c r="CL29" s="195">
        <v>33.894411326378489</v>
      </c>
      <c r="CM29" s="195"/>
      <c r="CN29" s="195">
        <v>46.28647540983598</v>
      </c>
      <c r="CO29" s="195"/>
      <c r="CP29" s="195">
        <v>25.69533532041731</v>
      </c>
      <c r="CQ29" s="195"/>
      <c r="CR29" s="59">
        <v>0</v>
      </c>
      <c r="CS29" s="59"/>
      <c r="CT29" s="195">
        <v>0.98780923994038716</v>
      </c>
      <c r="CU29" s="195"/>
      <c r="CV29" s="195">
        <v>2.2650000000000001</v>
      </c>
      <c r="CW29" s="247"/>
      <c r="CX29" s="193">
        <f>IFERROR(AVERAGEIF(RD[[#This Row],[IS1POA1 (KWh/m2)]:[IS7POA2 (KWh/m2)]],"&lt;&gt;0",RD[[#This Row],[IS1POA1 (KWh/m2)]:[IS7POA2 (KWh/m2)]]),"")</f>
        <v>7.3124169833333426</v>
      </c>
      <c r="CY29" s="193">
        <f>IFERROR(AVERAGEIF(RD[[#This Row],[IS1GHI1 (KWh/m2)]:[IS7GHI2 (KWh/m2)]],"&lt;&gt;0",RD[[#This Row],[IS1GHI1 (KWh/m2)]:[IS7GHI2 (KWh/m2)]]),"")</f>
        <v>7.2761967333333297</v>
      </c>
      <c r="CZ29" s="193">
        <f>IFERROR(AVERAGEIF(RD[[#This Row],[IS1POA_BS1 (KWh/m2)]:[IS7POA_BS2 (KWh/m2)]],"&lt;&gt;0",RD[[#This Row],[IS1POA_BS1 (KWh/m2)]:[IS7POA_BS2 (KWh/m2)]]),"")</f>
        <v>0.97527401666666591</v>
      </c>
      <c r="DA29" s="193">
        <f>IFERROR(AVERAGEIF(RD[[#This Row],[IS1GHI_BS1 (KWh/m2)]:[IS1GHI_BS1 (KWh/m2)2]],"&lt;&gt;0",RD[[#This Row],[IS1GHI_BS1 (KWh/m2)]:[IS1GHI_BS1 (KWh/m2)2]]),"")</f>
        <v>1.4461927166666662</v>
      </c>
      <c r="DB29" s="193">
        <f>IFERROR(AVERAGEIF(RD[[#This Row],[IS1AT1 (°C)]:[IS7AT2 (°C)]],"&lt;&gt;0",RD[[#This Row],[IS1AT1 (°C)]:[IS7AT2 (°C)]]),"")</f>
        <v>33.894411326378489</v>
      </c>
      <c r="DC29" s="193">
        <f>IFERROR(AVERAGEIF(RD[[#This Row],[IS1MT1 (°C)]:[IS7MT2 (°C)]],"&lt;&gt;0",RD[[#This Row],[IS1MT1 (°C)]:[IS7MT2 (°C)]]),"")</f>
        <v>46.28647540983598</v>
      </c>
      <c r="DD29" s="193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193">
        <f>IFERROR(AVERAGEIF(RD[[#This Row],[WS_Solar1_Avg (m/s)]:[IS7_WS_Solar1_Avg (m/s)]],"&lt;&gt;0",RD[[#This Row],[WS_Solar1_Avg (m/s)]:[IS7_WS_Solar1_Avg (m/s)]]),"")</f>
        <v>0.98780923994038716</v>
      </c>
      <c r="DG29" s="193">
        <f>IFERROR(AVERAGEIF(RD[[#This Row],[WS_Solar1_Max (m/s)]:[IS7_WS_Solar1_Max (m/s)]],"&lt;&gt;0",RD[[#This Row],[WS_Solar1_Max (m/s)]:[IS7_WS_Solar1_Max (m/s)]]),"")</f>
        <v>2.2650000000000001</v>
      </c>
      <c r="DH29" s="193">
        <f>SUM(RD[[#This Row],[IS1Inv1M1]:[IS4Inv4M2]])</f>
        <v>293883.8</v>
      </c>
      <c r="DI29" s="194">
        <f>SUM(RD[[#This Row],[IS7Inv1M1]]+RD[[#This Row],[IS7Inv2M1]])</f>
        <v>17279.400000000001</v>
      </c>
      <c r="DJ29" s="193">
        <f>SUM(RD[[#This Row],[IS5Inv1M1]:[IS5Inv2M2]])</f>
        <v>42564.800000000003</v>
      </c>
      <c r="DK29" s="193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75">
        <f>SUM(RD[[#This Row],[IS12Inv1M1]:[IS12Inv1M4]])</f>
        <v>0</v>
      </c>
      <c r="DO29" s="275">
        <f>SUM(RD[[#This Row],[IS13Inv1M1]:[IS13Inv2M2]])</f>
        <v>0</v>
      </c>
      <c r="DP29" s="193">
        <f>SUM(RD[[#This Row],[O2R15]:[O2R26]])</f>
        <v>581073.5</v>
      </c>
      <c r="DQ29" s="158">
        <v>37374.300000000003</v>
      </c>
      <c r="DR29" s="162">
        <v>203</v>
      </c>
      <c r="DS29" s="158">
        <v>32118.6</v>
      </c>
      <c r="DT29" s="158">
        <v>215.4</v>
      </c>
      <c r="DU29" s="162">
        <v>36986.6</v>
      </c>
      <c r="DV29" s="162">
        <v>387.6</v>
      </c>
      <c r="DW29" s="158">
        <v>5156.1000000000004</v>
      </c>
      <c r="DX29" s="162">
        <v>23.1</v>
      </c>
      <c r="DY29" s="162"/>
      <c r="DZ29" s="162"/>
      <c r="EA29" s="134">
        <v>88.63</v>
      </c>
      <c r="EB29" s="230">
        <v>113573044</v>
      </c>
      <c r="EC29" s="229">
        <v>880431.424</v>
      </c>
      <c r="ED29" s="230">
        <v>1053</v>
      </c>
      <c r="EE29" s="230">
        <v>107922</v>
      </c>
      <c r="EF29" s="158">
        <v>157542.79999999999</v>
      </c>
      <c r="EG29" s="158">
        <v>1737.1</v>
      </c>
      <c r="EH29" s="140">
        <f>IF((RD[[#This Row],[33 kV_F3_Ex
Incomer1]]-DQ28)*1000&lt;0,0,(RD[[#This Row],[33 kV_F3_Ex
Incomer1]]-DQ28)*1000)</f>
        <v>99100.000000005821</v>
      </c>
      <c r="EI29" s="140">
        <f>IF((RD[[#This Row],[34 kV_F3_Im
Incomer1]]-DR28)*1000&lt;0,0,(RD[[#This Row],[34 kV_F3_Im
Incomer1]]-DR28)*1000)</f>
        <v>199.99999999998863</v>
      </c>
      <c r="EJ29" s="140">
        <f>IF((RD[[#This Row],[33 kV_F4_Ex
Incomer2]]-DS28)*1000&lt;0,0,(RD[[#This Row],[33 kV_F4_Ex
Incomer2]]-DS28)*1000)</f>
        <v>93699.99999999709</v>
      </c>
      <c r="EK29" s="140">
        <f>IF((RD[[#This Row],[34 kV_F4_Im
Incomer2]]-DT28)*1000&lt;0,0,(RD[[#This Row],[34 kV_F4_Im
Incomer2]]-DT28)*1000)</f>
        <v>200.00000000001705</v>
      </c>
      <c r="EL29" s="140">
        <f>IF((RD[[#This Row],[33 kV_F5_Ex
Incomer3]]-DU28)*1000&lt;0,0,(RD[[#This Row],[33 kV_F5_Ex
Incomer3]]-DU28)*1000)</f>
        <v>122099.99999999854</v>
      </c>
      <c r="EM29" s="140">
        <f>IF((RD[[#This Row],[34 kV_F5_Im
Incomer3]]-DV28)*1000&lt;0,0,(RD[[#This Row],[34 kV_F5_Im
Incomer3]]-DV28)*1000)</f>
        <v>400.00000000003411</v>
      </c>
      <c r="EN29" s="140">
        <f>IF((RD[[#This Row],[33 kV_F6_Ex
Incomer4]]-DW28)*1000&lt;0,0,(RD[[#This Row],[33 kV_F6_Ex
Incomer4]]-DW28)*1000)</f>
        <v>101800.00000000017</v>
      </c>
      <c r="EO29" s="140">
        <f>IF((RD[[#This Row],[33 kV_F6_Im
Incomer4]]-DX28)*1000&lt;0,0,(RD[[#This Row],[33 kV_F6_Im
Incomer4]]-DX28)*1000)</f>
        <v>300.00000000000068</v>
      </c>
      <c r="EP29" s="140">
        <f>IF((RD[[#This Row],[33 kV_F7_Ex
Incomer5]]-DY28)*1000&lt;0,0,(RD[[#This Row],[33 kV_F7_Ex
Incomer5]]-DY28)*1000)</f>
        <v>0</v>
      </c>
      <c r="EQ29" s="140">
        <f>IF((RD[[#This Row],[33 kV_F7_Im
Incomer5]]-DZ28)*1000&lt;0,0,(RD[[#This Row],[33 kV_F7_Im
Incomer5]]-DZ28)*1000)</f>
        <v>0</v>
      </c>
      <c r="ER29" s="140">
        <f>IF((RD[[#This Row],[33 kV_Aux Trafo]]-EA28)*1000&lt;0,0,(RD[[#This Row],[33 kV_Aux Trafo]]-EA28)*1000)</f>
        <v>189.99999999999773</v>
      </c>
      <c r="ES29" s="152">
        <f>IF((RD[[#This Row],[33kV_OG1_Ex_]]-EB28)*1&lt;0,0,(RD[[#This Row],[33kV_OG1_Ex_]]-EB28)*1)</f>
        <v>621282</v>
      </c>
      <c r="ET29" s="140">
        <f>IF((RD[[#This Row],[33kV_OG1_Im]]-EC28)*1&lt;0,0,(RD[[#This Row],[33kV_OG1_Im]]-EC28)*1)</f>
        <v>1854.3360000000102</v>
      </c>
      <c r="EU29" s="140">
        <f>IF((RD[[#This Row],[132kV_TX1_EX]]-ED28)*720&lt;=0,"",(RD[[#This Row],[132kV_TX1_EX]]-ED28)*720)</f>
        <v>2160</v>
      </c>
      <c r="EV29" s="140">
        <f>IF((RD[[#This Row],[132 kV_Tx1_Im]]-EE28)*720&lt;=0,0,(RD[[#This Row],[132 kV_Tx1_Im]]-EE28)*720)</f>
        <v>445680</v>
      </c>
      <c r="EW29" s="140">
        <f>IF((RD[[#This Row],[132kV_L1_Ex]]-EF28)*720&lt;=0,0,(RD[[#This Row],[132kV_L1_Ex]]-EF28)*720)</f>
        <v>619631.99999998324</v>
      </c>
      <c r="EX29" s="140">
        <f>IF((RD[[#This Row],[132kV_L1_Im]]-EG28)*720&lt;=0,0,(RD[[#This Row],[132kV_L1_Im]]-EG28)*720)</f>
        <v>2375.9999999999673</v>
      </c>
      <c r="EY29" s="231">
        <f>IFERROR(RD[[#This Row],[33kV_OG1_Ex (MWh)]]+RD[[#This Row],[33kV_OG1_Im (MWh)]],"")</f>
        <v>623136.33600000001</v>
      </c>
      <c r="EZ29" s="142">
        <f>RD[[#This Row],[33kV_OG1_Ex (MWh)]]-RD[[#This Row],[33kV_OG1_Im (MWh)]]</f>
        <v>619427.66399999999</v>
      </c>
      <c r="FA29" s="142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32">
        <f>IFERROR((RD[[#This Row],[Sunset Time (POA&lt;20 W/m2)]]-RD[[#This Row],[Sunrise Time (POA&gt;20 W/m2)]])*24,0)</f>
        <v>12.133333333333333</v>
      </c>
      <c r="FD29" s="233">
        <v>105</v>
      </c>
      <c r="FE29" t="s">
        <v>276</v>
      </c>
      <c r="FF29"/>
      <c r="FG29"/>
    </row>
    <row r="30" spans="1:163">
      <c r="A30" s="130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46">
        <v>0.26180555555555557</v>
      </c>
      <c r="G30" s="156">
        <v>0.76597222222222228</v>
      </c>
      <c r="H30" s="121">
        <v>9012.7000000000007</v>
      </c>
      <c r="I30" s="121">
        <v>8982.7000000000007</v>
      </c>
      <c r="J30" s="121">
        <v>8573.4</v>
      </c>
      <c r="K30" s="121">
        <v>8647.2999999999993</v>
      </c>
      <c r="L30" s="121">
        <v>8863.1</v>
      </c>
      <c r="M30" s="121">
        <v>9085.6</v>
      </c>
      <c r="N30" s="121">
        <v>8847.4</v>
      </c>
      <c r="O30" s="121">
        <v>9410</v>
      </c>
      <c r="P30" s="121">
        <v>8836.1</v>
      </c>
      <c r="Q30" s="121">
        <v>8727.2000000000007</v>
      </c>
      <c r="R30" s="121">
        <v>9058.2000000000007</v>
      </c>
      <c r="S30" s="121">
        <v>9013.5</v>
      </c>
      <c r="T30" s="121">
        <v>9265.9</v>
      </c>
      <c r="U30" s="121">
        <v>9055</v>
      </c>
      <c r="V30" s="121">
        <v>9125.2000000000007</v>
      </c>
      <c r="W30" s="121">
        <v>8953.4</v>
      </c>
      <c r="X30" s="192">
        <v>12660</v>
      </c>
      <c r="Y30" s="192">
        <v>13603.7</v>
      </c>
      <c r="Z30" s="192">
        <v>12211.7</v>
      </c>
      <c r="AA30" s="192">
        <v>12687.3</v>
      </c>
      <c r="AB30" s="192">
        <v>13485.5</v>
      </c>
      <c r="AC30" s="192">
        <v>8306.9</v>
      </c>
      <c r="AD30" s="192">
        <v>12738.2</v>
      </c>
      <c r="AE30" s="192">
        <v>12776.6</v>
      </c>
      <c r="AF30" s="192">
        <v>12519.8</v>
      </c>
      <c r="AG30" s="192">
        <v>12523</v>
      </c>
      <c r="AH30" s="192">
        <v>12656.4</v>
      </c>
      <c r="AI30" s="192">
        <v>12766.4</v>
      </c>
      <c r="AJ30" s="136">
        <v>10537.8</v>
      </c>
      <c r="AK30" s="136">
        <v>10879.9</v>
      </c>
      <c r="AL30" s="136">
        <v>10617.1</v>
      </c>
      <c r="AM30" s="136">
        <v>10651.6</v>
      </c>
      <c r="AN30" s="136">
        <v>10537.8</v>
      </c>
      <c r="AO30" s="136">
        <v>10835.6</v>
      </c>
      <c r="AP30" s="136">
        <v>10678.4</v>
      </c>
      <c r="AQ30" s="136">
        <v>10548.8</v>
      </c>
      <c r="AR30" s="136">
        <v>8579.7999999999993</v>
      </c>
      <c r="AS30" s="136">
        <v>8653.2999999999993</v>
      </c>
      <c r="AT30" s="136">
        <v>8789.2000000000007</v>
      </c>
      <c r="AU30" s="136">
        <v>8776.9</v>
      </c>
      <c r="AV30" s="136">
        <v>8912.2999999999993</v>
      </c>
      <c r="AW30" s="136">
        <v>8718.7000000000007</v>
      </c>
      <c r="AX30" s="136">
        <v>12207.7</v>
      </c>
      <c r="AY30" s="136">
        <v>13459.5</v>
      </c>
      <c r="AZ30" s="136">
        <v>9830.9</v>
      </c>
      <c r="BA30" s="136">
        <v>11760.7</v>
      </c>
      <c r="BB30" s="136">
        <v>11884</v>
      </c>
      <c r="BC30" s="136">
        <v>8450</v>
      </c>
      <c r="BD30" s="136">
        <v>9832</v>
      </c>
      <c r="BE30" s="136">
        <v>11705</v>
      </c>
      <c r="BF30" s="136">
        <v>12609</v>
      </c>
      <c r="BG30" s="136">
        <v>12494</v>
      </c>
      <c r="BH30" s="136">
        <v>7660</v>
      </c>
      <c r="BI30" s="136">
        <v>4698</v>
      </c>
      <c r="BJ30" s="136">
        <v>7855.4</v>
      </c>
      <c r="BK30" s="136">
        <v>5600.1</v>
      </c>
      <c r="BL30" s="136">
        <v>7760.8</v>
      </c>
      <c r="BM30" s="136">
        <v>7159.6</v>
      </c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59">
        <v>7.267512199999997</v>
      </c>
      <c r="CE30" s="59"/>
      <c r="CF30" s="195">
        <v>7.2514088000000019</v>
      </c>
      <c r="CG30" s="195"/>
      <c r="CH30" s="195">
        <v>0.98194756666666594</v>
      </c>
      <c r="CI30" s="195"/>
      <c r="CJ30" s="59">
        <v>1.4546560666666659</v>
      </c>
      <c r="CK30" s="59"/>
      <c r="CL30" s="195">
        <v>34.564774247491734</v>
      </c>
      <c r="CM30" s="195"/>
      <c r="CN30" s="195">
        <v>47.986234949832735</v>
      </c>
      <c r="CO30" s="195"/>
      <c r="CP30" s="195">
        <v>17.935016722408026</v>
      </c>
      <c r="CQ30" s="195"/>
      <c r="CR30" s="59">
        <v>0</v>
      </c>
      <c r="CS30" s="59"/>
      <c r="CT30" s="195">
        <v>0.99358193979933207</v>
      </c>
      <c r="CU30" s="195"/>
      <c r="CV30" s="195">
        <v>2.6459999999999999</v>
      </c>
      <c r="CW30" s="247"/>
      <c r="CX30" s="193">
        <f>IFERROR(AVERAGEIF(RD[[#This Row],[IS1POA1 (KWh/m2)]:[IS7POA2 (KWh/m2)]],"&lt;&gt;0",RD[[#This Row],[IS1POA1 (KWh/m2)]:[IS7POA2 (KWh/m2)]]),"")</f>
        <v>7.267512199999997</v>
      </c>
      <c r="CY30" s="193">
        <f>IFERROR(AVERAGEIF(RD[[#This Row],[IS1GHI1 (KWh/m2)]:[IS7GHI2 (KWh/m2)]],"&lt;&gt;0",RD[[#This Row],[IS1GHI1 (KWh/m2)]:[IS7GHI2 (KWh/m2)]]),"")</f>
        <v>7.2514088000000019</v>
      </c>
      <c r="CZ30" s="193">
        <f>IFERROR(AVERAGEIF(RD[[#This Row],[IS1POA_BS1 (KWh/m2)]:[IS7POA_BS2 (KWh/m2)]],"&lt;&gt;0",RD[[#This Row],[IS1POA_BS1 (KWh/m2)]:[IS7POA_BS2 (KWh/m2)]]),"")</f>
        <v>0.98194756666666594</v>
      </c>
      <c r="DA30" s="193">
        <f>IFERROR(AVERAGEIF(RD[[#This Row],[IS1GHI_BS1 (KWh/m2)]:[IS1GHI_BS1 (KWh/m2)2]],"&lt;&gt;0",RD[[#This Row],[IS1GHI_BS1 (KWh/m2)]:[IS1GHI_BS1 (KWh/m2)2]]),"")</f>
        <v>1.4546560666666659</v>
      </c>
      <c r="DB30" s="193">
        <f>IFERROR(AVERAGEIF(RD[[#This Row],[IS1AT1 (°C)]:[IS7AT2 (°C)]],"&lt;&gt;0",RD[[#This Row],[IS1AT1 (°C)]:[IS7AT2 (°C)]]),"")</f>
        <v>34.564774247491734</v>
      </c>
      <c r="DC30" s="193">
        <f>IFERROR(AVERAGEIF(RD[[#This Row],[IS1MT1 (°C)]:[IS7MT2 (°C)]],"&lt;&gt;0",RD[[#This Row],[IS1MT1 (°C)]:[IS7MT2 (°C)]]),"")</f>
        <v>47.986234949832735</v>
      </c>
      <c r="DD30" s="193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193">
        <f>IFERROR(AVERAGEIF(RD[[#This Row],[WS_Solar1_Avg (m/s)]:[IS7_WS_Solar1_Avg (m/s)]],"&lt;&gt;0",RD[[#This Row],[WS_Solar1_Avg (m/s)]:[IS7_WS_Solar1_Avg (m/s)]]),"")</f>
        <v>0.99358193979933207</v>
      </c>
      <c r="DG30" s="193">
        <f>IFERROR(AVERAGEIF(RD[[#This Row],[WS_Solar1_Max (m/s)]:[IS7_WS_Solar1_Max (m/s)]],"&lt;&gt;0",RD[[#This Row],[WS_Solar1_Max (m/s)]:[IS7_WS_Solar1_Max (m/s)]]),"")</f>
        <v>2.6459999999999999</v>
      </c>
      <c r="DH30" s="193">
        <f>SUM(RD[[#This Row],[IS1Inv1M1]:[IS4Inv4M2]])</f>
        <v>292392.20000000007</v>
      </c>
      <c r="DI30" s="194">
        <f>SUM(RD[[#This Row],[IS7Inv1M1]]+RD[[#This Row],[IS7Inv2M1]])</f>
        <v>17233.099999999999</v>
      </c>
      <c r="DJ30" s="193">
        <f>SUM(RD[[#This Row],[IS5Inv1M1]:[IS5Inv2M2]])</f>
        <v>42686.399999999994</v>
      </c>
      <c r="DK30" s="193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75">
        <f>SUM(RD[[#This Row],[IS12Inv1M1]:[IS12Inv1M4]])</f>
        <v>0</v>
      </c>
      <c r="DO30" s="275">
        <f>SUM(RD[[#This Row],[IS13Inv1M1]:[IS13Inv2M2]])</f>
        <v>0</v>
      </c>
      <c r="DP30" s="193">
        <f>SUM(RD[[#This Row],[O2R15]:[O2R26]])</f>
        <v>585076.10000000009</v>
      </c>
      <c r="DQ30" s="158">
        <v>37473.5</v>
      </c>
      <c r="DR30" s="162">
        <v>203.2</v>
      </c>
      <c r="DS30" s="158">
        <v>32211.7</v>
      </c>
      <c r="DT30" s="158">
        <v>215.6</v>
      </c>
      <c r="DU30" s="162">
        <v>37108.800000000003</v>
      </c>
      <c r="DV30" s="162">
        <v>388</v>
      </c>
      <c r="DW30" s="158">
        <v>5257.9</v>
      </c>
      <c r="DX30" s="162">
        <v>23.5</v>
      </c>
      <c r="DY30" s="162"/>
      <c r="DZ30" s="162"/>
      <c r="EA30" s="134">
        <v>88.8</v>
      </c>
      <c r="EB30" s="230">
        <v>114193997</v>
      </c>
      <c r="EC30" s="229">
        <v>882212.09600000002</v>
      </c>
      <c r="ED30" s="230">
        <v>1055</v>
      </c>
      <c r="EE30" s="230">
        <v>108540</v>
      </c>
      <c r="EF30" s="158">
        <v>158402.4</v>
      </c>
      <c r="EG30" s="158">
        <v>1740</v>
      </c>
      <c r="EH30" s="140">
        <f>IF((RD[[#This Row],[33 kV_F3_Ex
Incomer1]]-DQ29)*1000&lt;0,0,(RD[[#This Row],[33 kV_F3_Ex
Incomer1]]-DQ29)*1000)</f>
        <v>99199.99999999709</v>
      </c>
      <c r="EI30" s="140">
        <f>IF((RD[[#This Row],[34 kV_F3_Im
Incomer1]]-DR29)*1000&lt;0,0,(RD[[#This Row],[34 kV_F3_Im
Incomer1]]-DR29)*1000)</f>
        <v>199.99999999998863</v>
      </c>
      <c r="EJ30" s="140">
        <f>IF((RD[[#This Row],[33 kV_F4_Ex
Incomer2]]-DS29)*1000&lt;0,0,(RD[[#This Row],[33 kV_F4_Ex
Incomer2]]-DS29)*1000)</f>
        <v>93100.000000002183</v>
      </c>
      <c r="EK30" s="140">
        <f>IF((RD[[#This Row],[34 kV_F4_Im
Incomer2]]-DT29)*1000&lt;0,0,(RD[[#This Row],[34 kV_F4_Im
Incomer2]]-DT29)*1000)</f>
        <v>199.99999999998863</v>
      </c>
      <c r="EL30" s="140">
        <f>IF((RD[[#This Row],[33 kV_F5_Ex
Incomer3]]-DU29)*1000&lt;0,0,(RD[[#This Row],[33 kV_F5_Ex
Incomer3]]-DU29)*1000)</f>
        <v>122200.00000000437</v>
      </c>
      <c r="EM30" s="140">
        <f>IF((RD[[#This Row],[34 kV_F5_Im
Incomer3]]-DV29)*1000&lt;0,0,(RD[[#This Row],[34 kV_F5_Im
Incomer3]]-DV29)*1000)</f>
        <v>399.99999999997726</v>
      </c>
      <c r="EN30" s="140">
        <f>IF((RD[[#This Row],[33 kV_F6_Ex
Incomer4]]-DW29)*1000&lt;0,0,(RD[[#This Row],[33 kV_F6_Ex
Incomer4]]-DW29)*1000)</f>
        <v>101799.99999999927</v>
      </c>
      <c r="EO30" s="140">
        <f>IF((RD[[#This Row],[33 kV_F6_Im
Incomer4]]-DX29)*1000&lt;0,0,(RD[[#This Row],[33 kV_F6_Im
Incomer4]]-DX29)*1000)</f>
        <v>399.99999999999858</v>
      </c>
      <c r="EP30" s="140">
        <f>IF((RD[[#This Row],[33 kV_F7_Ex
Incomer5]]-DY29)*1000&lt;0,0,(RD[[#This Row],[33 kV_F7_Ex
Incomer5]]-DY29)*1000)</f>
        <v>0</v>
      </c>
      <c r="EQ30" s="140">
        <f>IF((RD[[#This Row],[33 kV_F7_Im
Incomer5]]-DZ29)*1000&lt;0,0,(RD[[#This Row],[33 kV_F7_Im
Incomer5]]-DZ29)*1000)</f>
        <v>0</v>
      </c>
      <c r="ER30" s="140">
        <f>IF((RD[[#This Row],[33 kV_Aux Trafo]]-EA29)*1000&lt;0,0,(RD[[#This Row],[33 kV_Aux Trafo]]-EA29)*1000)</f>
        <v>170.00000000000171</v>
      </c>
      <c r="ES30" s="152">
        <f>IF((RD[[#This Row],[33kV_OG1_Ex_]]-EB29)*1&lt;0,0,(RD[[#This Row],[33kV_OG1_Ex_]]-EB29)*1)</f>
        <v>620953</v>
      </c>
      <c r="ET30" s="140">
        <f>IF((RD[[#This Row],[33kV_OG1_Im]]-EC29)*1&lt;0,0,(RD[[#This Row],[33kV_OG1_Im]]-EC29)*1)</f>
        <v>1780.6720000000205</v>
      </c>
      <c r="EU30" s="140">
        <f>IF((RD[[#This Row],[132kV_TX1_EX]]-ED29)*720&lt;=0,"",(RD[[#This Row],[132kV_TX1_EX]]-ED29)*720)</f>
        <v>1440</v>
      </c>
      <c r="EV30" s="140">
        <f>IF((RD[[#This Row],[132 kV_Tx1_Im]]-EE29)*720&lt;=0,0,(RD[[#This Row],[132 kV_Tx1_Im]]-EE29)*720)</f>
        <v>444960</v>
      </c>
      <c r="EW30" s="140">
        <f>IF((RD[[#This Row],[132kV_L1_Ex]]-EF29)*720&lt;=0,0,(RD[[#This Row],[132kV_L1_Ex]]-EF29)*720)</f>
        <v>618912.00000000419</v>
      </c>
      <c r="EX30" s="140">
        <f>IF((RD[[#This Row],[132kV_L1_Im]]-EG29)*720&lt;=0,0,(RD[[#This Row],[132kV_L1_Im]]-EG29)*720)</f>
        <v>2088.0000000000655</v>
      </c>
      <c r="EY30" s="231">
        <f>IFERROR(RD[[#This Row],[33kV_OG1_Ex (MWh)]]+RD[[#This Row],[33kV_OG1_Im (MWh)]],"")</f>
        <v>622733.67200000002</v>
      </c>
      <c r="EZ30" s="142">
        <f>RD[[#This Row],[33kV_OG1_Ex (MWh)]]-RD[[#This Row],[33kV_OG1_Im (MWh)]]</f>
        <v>619172.32799999998</v>
      </c>
      <c r="FA30" s="142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32">
        <f>IFERROR((RD[[#This Row],[Sunset Time (POA&lt;20 W/m2)]]-RD[[#This Row],[Sunrise Time (POA&gt;20 W/m2)]])*24,0)</f>
        <v>12.1</v>
      </c>
      <c r="FD30" s="233">
        <v>105</v>
      </c>
      <c r="FE30" t="s">
        <v>268</v>
      </c>
      <c r="FF30"/>
      <c r="FG30"/>
    </row>
    <row r="31" spans="1:163">
      <c r="A31" s="130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46">
        <v>0.26180555555555557</v>
      </c>
      <c r="G31" s="156">
        <v>0.76944444444444449</v>
      </c>
      <c r="H31" s="121">
        <v>8853.7000000000007</v>
      </c>
      <c r="I31" s="121">
        <v>8758.7999999999993</v>
      </c>
      <c r="J31" s="121">
        <v>8252.6</v>
      </c>
      <c r="K31" s="121">
        <v>8339.2000000000007</v>
      </c>
      <c r="L31" s="121">
        <v>8597.7999999999993</v>
      </c>
      <c r="M31" s="121">
        <v>8840.7999999999993</v>
      </c>
      <c r="N31" s="121">
        <v>8555.1</v>
      </c>
      <c r="O31" s="121">
        <v>9273</v>
      </c>
      <c r="P31" s="121">
        <v>8632.2999999999993</v>
      </c>
      <c r="Q31" s="121">
        <v>8543.5</v>
      </c>
      <c r="R31" s="121">
        <v>8856.2000000000007</v>
      </c>
      <c r="S31" s="121">
        <v>8813.7000000000007</v>
      </c>
      <c r="T31" s="121">
        <v>9078</v>
      </c>
      <c r="U31" s="121">
        <v>8839.6</v>
      </c>
      <c r="V31" s="121">
        <v>8950.2000000000007</v>
      </c>
      <c r="W31" s="121">
        <v>8717.9</v>
      </c>
      <c r="X31" s="192">
        <v>12252.3</v>
      </c>
      <c r="Y31" s="192">
        <v>13318.6</v>
      </c>
      <c r="Z31" s="192">
        <v>11766.4</v>
      </c>
      <c r="AA31" s="192">
        <v>12220.7</v>
      </c>
      <c r="AB31" s="192">
        <v>13197.8</v>
      </c>
      <c r="AC31" s="192">
        <v>8024.1</v>
      </c>
      <c r="AD31" s="192">
        <v>12337.5</v>
      </c>
      <c r="AE31" s="192">
        <v>12379.2</v>
      </c>
      <c r="AF31" s="192">
        <v>12093.1</v>
      </c>
      <c r="AG31" s="192">
        <v>12131.2</v>
      </c>
      <c r="AH31" s="192">
        <v>12212.9</v>
      </c>
      <c r="AI31" s="192">
        <v>12355.6</v>
      </c>
      <c r="AJ31" s="136">
        <v>10262.6</v>
      </c>
      <c r="AK31" s="136">
        <v>10522.6</v>
      </c>
      <c r="AL31" s="136">
        <v>10227.299999999999</v>
      </c>
      <c r="AM31" s="136">
        <v>10268.1</v>
      </c>
      <c r="AN31" s="136">
        <v>10186.799999999999</v>
      </c>
      <c r="AO31" s="136">
        <v>10464.6</v>
      </c>
      <c r="AP31" s="136">
        <v>10327.1</v>
      </c>
      <c r="AQ31" s="136">
        <v>10193.799999999999</v>
      </c>
      <c r="AR31" s="136">
        <v>8312.1</v>
      </c>
      <c r="AS31" s="136">
        <v>8368</v>
      </c>
      <c r="AT31" s="136">
        <v>8536.1</v>
      </c>
      <c r="AU31" s="136">
        <v>8498.5</v>
      </c>
      <c r="AV31" s="136">
        <v>8691.2000000000007</v>
      </c>
      <c r="AW31" s="136">
        <v>8457.4</v>
      </c>
      <c r="AX31" s="136">
        <v>11825.1</v>
      </c>
      <c r="AY31" s="136">
        <v>13201.9</v>
      </c>
      <c r="AZ31" s="136">
        <v>9565.7999999999993</v>
      </c>
      <c r="BA31" s="136">
        <v>11411.4</v>
      </c>
      <c r="BB31" s="136">
        <v>12366</v>
      </c>
      <c r="BC31" s="136">
        <v>9355</v>
      </c>
      <c r="BD31" s="136">
        <v>9972</v>
      </c>
      <c r="BE31" s="136">
        <v>11763</v>
      </c>
      <c r="BF31" s="136">
        <v>12657</v>
      </c>
      <c r="BG31" s="136">
        <v>12670</v>
      </c>
      <c r="BH31" s="136">
        <v>7694</v>
      </c>
      <c r="BI31" s="136">
        <v>4726</v>
      </c>
      <c r="BJ31" s="136">
        <v>7930</v>
      </c>
      <c r="BK31" s="136">
        <v>5771</v>
      </c>
      <c r="BL31" s="136">
        <v>7817</v>
      </c>
      <c r="BM31" s="136">
        <v>7209</v>
      </c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59">
        <v>6.9662361500000021</v>
      </c>
      <c r="CE31" s="59"/>
      <c r="CF31" s="195">
        <v>6.942666066666666</v>
      </c>
      <c r="CG31" s="195"/>
      <c r="CH31" s="195">
        <v>0.96716798333333232</v>
      </c>
      <c r="CI31" s="195"/>
      <c r="CJ31" s="59">
        <v>1.3974052499999994</v>
      </c>
      <c r="CK31" s="59"/>
      <c r="CL31" s="195">
        <v>34.53467400508044</v>
      </c>
      <c r="CM31" s="195"/>
      <c r="CN31" s="195">
        <v>47.438395427603695</v>
      </c>
      <c r="CO31" s="195"/>
      <c r="CP31" s="195">
        <v>15.735088907705327</v>
      </c>
      <c r="CQ31" s="195"/>
      <c r="CR31" s="59">
        <v>0</v>
      </c>
      <c r="CS31" s="59"/>
      <c r="CT31" s="195">
        <v>1.098401354784083</v>
      </c>
      <c r="CU31" s="195"/>
      <c r="CV31" s="195">
        <v>2.4390000000000001</v>
      </c>
      <c r="CW31" s="247"/>
      <c r="CX31" s="193">
        <f>IFERROR(AVERAGEIF(RD[[#This Row],[IS1POA1 (KWh/m2)]:[IS7POA2 (KWh/m2)]],"&lt;&gt;0",RD[[#This Row],[IS1POA1 (KWh/m2)]:[IS7POA2 (KWh/m2)]]),"")</f>
        <v>6.9662361500000021</v>
      </c>
      <c r="CY31" s="193">
        <f>IFERROR(AVERAGEIF(RD[[#This Row],[IS1GHI1 (KWh/m2)]:[IS7GHI2 (KWh/m2)]],"&lt;&gt;0",RD[[#This Row],[IS1GHI1 (KWh/m2)]:[IS7GHI2 (KWh/m2)]]),"")</f>
        <v>6.942666066666666</v>
      </c>
      <c r="CZ31" s="193">
        <f>IFERROR(AVERAGEIF(RD[[#This Row],[IS1POA_BS1 (KWh/m2)]:[IS7POA_BS2 (KWh/m2)]],"&lt;&gt;0",RD[[#This Row],[IS1POA_BS1 (KWh/m2)]:[IS7POA_BS2 (KWh/m2)]]),"")</f>
        <v>0.96716798333333232</v>
      </c>
      <c r="DA31" s="193">
        <f>IFERROR(AVERAGEIF(RD[[#This Row],[IS1GHI_BS1 (KWh/m2)]:[IS1GHI_BS1 (KWh/m2)2]],"&lt;&gt;0",RD[[#This Row],[IS1GHI_BS1 (KWh/m2)]:[IS1GHI_BS1 (KWh/m2)2]]),"")</f>
        <v>1.3974052499999994</v>
      </c>
      <c r="DB31" s="193">
        <f>IFERROR(AVERAGEIF(RD[[#This Row],[IS1AT1 (°C)]:[IS7AT2 (°C)]],"&lt;&gt;0",RD[[#This Row],[IS1AT1 (°C)]:[IS7AT2 (°C)]]),"")</f>
        <v>34.53467400508044</v>
      </c>
      <c r="DC31" s="193">
        <f>IFERROR(AVERAGEIF(RD[[#This Row],[IS1MT1 (°C)]:[IS7MT2 (°C)]],"&lt;&gt;0",RD[[#This Row],[IS1MT1 (°C)]:[IS7MT2 (°C)]]),"")</f>
        <v>47.438395427603695</v>
      </c>
      <c r="DD31" s="193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193">
        <f>IFERROR(AVERAGEIF(RD[[#This Row],[WS_Solar1_Avg (m/s)]:[IS7_WS_Solar1_Avg (m/s)]],"&lt;&gt;0",RD[[#This Row],[WS_Solar1_Avg (m/s)]:[IS7_WS_Solar1_Avg (m/s)]]),"")</f>
        <v>1.098401354784083</v>
      </c>
      <c r="DG31" s="193">
        <f>IFERROR(AVERAGEIF(RD[[#This Row],[WS_Solar1_Max (m/s)]:[IS7_WS_Solar1_Max (m/s)]],"&lt;&gt;0",RD[[#This Row],[WS_Solar1_Max (m/s)]:[IS7_WS_Solar1_Max (m/s)]]),"")</f>
        <v>2.4390000000000001</v>
      </c>
      <c r="DH31" s="193">
        <f>SUM(RD[[#This Row],[IS1Inv1M1]:[IS4Inv4M2]])</f>
        <v>284191.8</v>
      </c>
      <c r="DI31" s="194">
        <f>SUM(RD[[#This Row],[IS7Inv1M1]]+RD[[#This Row],[IS7Inv2M1]])</f>
        <v>16680.099999999999</v>
      </c>
      <c r="DJ31" s="193">
        <f>SUM(RD[[#This Row],[IS5Inv1M1]:[IS5Inv2M2]])</f>
        <v>41280.6</v>
      </c>
      <c r="DK31" s="193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75">
        <f>SUM(RD[[#This Row],[IS12Inv1M1]:[IS12Inv1M4]])</f>
        <v>0</v>
      </c>
      <c r="DO31" s="275">
        <f>SUM(RD[[#This Row],[IS13Inv1M1]:[IS13Inv2M2]])</f>
        <v>0</v>
      </c>
      <c r="DP31" s="193">
        <f>SUM(RD[[#This Row],[O2R15]:[O2R26]])</f>
        <v>573442.19999999995</v>
      </c>
      <c r="DQ31" s="158">
        <v>37569.5</v>
      </c>
      <c r="DR31" s="162">
        <v>203.4</v>
      </c>
      <c r="DS31" s="158">
        <v>32302.9</v>
      </c>
      <c r="DT31" s="158">
        <v>215.8</v>
      </c>
      <c r="DU31" s="162">
        <v>37227.300000000003</v>
      </c>
      <c r="DV31" s="162">
        <v>388.4</v>
      </c>
      <c r="DW31" s="158">
        <v>5351.7</v>
      </c>
      <c r="DX31" s="162">
        <v>23.8</v>
      </c>
      <c r="DY31" s="162"/>
      <c r="DZ31" s="162"/>
      <c r="EA31" s="134">
        <v>89</v>
      </c>
      <c r="EB31" s="230">
        <v>114789728</v>
      </c>
      <c r="EC31" s="229">
        <v>884037.76</v>
      </c>
      <c r="ED31" s="230">
        <v>1057</v>
      </c>
      <c r="EE31" s="230">
        <v>109133</v>
      </c>
      <c r="EF31" s="158">
        <v>159227</v>
      </c>
      <c r="EG31" s="158">
        <v>1743.4</v>
      </c>
      <c r="EH31" s="140">
        <f>IF((RD[[#This Row],[33 kV_F3_Ex
Incomer1]]-DQ30)*1000&lt;0,0,(RD[[#This Row],[33 kV_F3_Ex
Incomer1]]-DQ30)*1000)</f>
        <v>96000</v>
      </c>
      <c r="EI31" s="140">
        <f>IF((RD[[#This Row],[34 kV_F3_Im
Incomer1]]-DR30)*1000&lt;0,0,(RD[[#This Row],[34 kV_F3_Im
Incomer1]]-DR30)*1000)</f>
        <v>200.00000000001705</v>
      </c>
      <c r="EJ31" s="140">
        <f>IF((RD[[#This Row],[33 kV_F4_Ex
Incomer2]]-DS30)*1000&lt;0,0,(RD[[#This Row],[33 kV_F4_Ex
Incomer2]]-DS30)*1000)</f>
        <v>91200.000000000728</v>
      </c>
      <c r="EK31" s="140">
        <f>IF((RD[[#This Row],[34 kV_F4_Im
Incomer2]]-DT30)*1000&lt;0,0,(RD[[#This Row],[34 kV_F4_Im
Incomer2]]-DT30)*1000)</f>
        <v>200.00000000001705</v>
      </c>
      <c r="EL31" s="140">
        <f>IF((RD[[#This Row],[33 kV_F5_Ex
Incomer3]]-DU30)*1000&lt;0,0,(RD[[#This Row],[33 kV_F5_Ex
Incomer3]]-DU30)*1000)</f>
        <v>118500</v>
      </c>
      <c r="EM31" s="140">
        <f>IF((RD[[#This Row],[34 kV_F5_Im
Incomer3]]-DV30)*1000&lt;0,0,(RD[[#This Row],[34 kV_F5_Im
Incomer3]]-DV30)*1000)</f>
        <v>399.99999999997726</v>
      </c>
      <c r="EN31" s="140">
        <f>IF((RD[[#This Row],[33 kV_F6_Ex
Incomer4]]-DW30)*1000&lt;0,0,(RD[[#This Row],[33 kV_F6_Ex
Incomer4]]-DW30)*1000)</f>
        <v>93800.000000000175</v>
      </c>
      <c r="EO31" s="140">
        <f>IF((RD[[#This Row],[33 kV_F6_Im
Incomer4]]-DX30)*1000&lt;0,0,(RD[[#This Row],[33 kV_F6_Im
Incomer4]]-DX30)*1000)</f>
        <v>300.00000000000068</v>
      </c>
      <c r="EP31" s="140">
        <f>IF((RD[[#This Row],[33 kV_F7_Ex
Incomer5]]-DY30)*1000&lt;0,0,(RD[[#This Row],[33 kV_F7_Ex
Incomer5]]-DY30)*1000)</f>
        <v>0</v>
      </c>
      <c r="EQ31" s="140">
        <f>IF((RD[[#This Row],[33 kV_F7_Im
Incomer5]]-DZ30)*1000&lt;0,0,(RD[[#This Row],[33 kV_F7_Im
Incomer5]]-DZ30)*1000)</f>
        <v>0</v>
      </c>
      <c r="ER31" s="140">
        <f>IF((RD[[#This Row],[33 kV_Aux Trafo]]-EA30)*1000&lt;0,0,(RD[[#This Row],[33 kV_Aux Trafo]]-EA30)*1000)</f>
        <v>200.00000000000284</v>
      </c>
      <c r="ES31" s="152">
        <f>IF((RD[[#This Row],[33kV_OG1_Ex_]]-EB30)*1&lt;0,0,(RD[[#This Row],[33kV_OG1_Ex_]]-EB30)*1)</f>
        <v>595731</v>
      </c>
      <c r="ET31" s="140">
        <f>IF((RD[[#This Row],[33kV_OG1_Im]]-EC30)*1&lt;0,0,(RD[[#This Row],[33kV_OG1_Im]]-EC30)*1)</f>
        <v>1825.6639999999898</v>
      </c>
      <c r="EU31" s="140">
        <f>IF((RD[[#This Row],[132kV_TX1_EX]]-ED30)*720&lt;=0,"",(RD[[#This Row],[132kV_TX1_EX]]-ED30)*720)</f>
        <v>1440</v>
      </c>
      <c r="EV31" s="140">
        <f>IF((RD[[#This Row],[132 kV_Tx1_Im]]-EE30)*720&lt;=0,0,(RD[[#This Row],[132 kV_Tx1_Im]]-EE30)*720)</f>
        <v>426960</v>
      </c>
      <c r="EW31" s="140">
        <f>IF((RD[[#This Row],[132kV_L1_Ex]]-EF30)*720&lt;=0,0,(RD[[#This Row],[132kV_L1_Ex]]-EF30)*720)</f>
        <v>593712.00000000419</v>
      </c>
      <c r="EX31" s="140">
        <f>IF((RD[[#This Row],[132kV_L1_Im]]-EG30)*720&lt;=0,0,(RD[[#This Row],[132kV_L1_Im]]-EG30)*720)</f>
        <v>2448.0000000000655</v>
      </c>
      <c r="EY31" s="231">
        <f>IFERROR(RD[[#This Row],[33kV_OG1_Ex (MWh)]]+RD[[#This Row],[33kV_OG1_Im (MWh)]],"")</f>
        <v>597556.66399999999</v>
      </c>
      <c r="EZ31" s="142">
        <f>RD[[#This Row],[33kV_OG1_Ex (MWh)]]-RD[[#This Row],[33kV_OG1_Im (MWh)]]</f>
        <v>593905.33600000001</v>
      </c>
      <c r="FA31" s="142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32">
        <f>IFERROR((RD[[#This Row],[Sunset Time (POA&lt;20 W/m2)]]-RD[[#This Row],[Sunrise Time (POA&gt;20 W/m2)]])*24,0)</f>
        <v>12.183333333333335</v>
      </c>
      <c r="FD31" s="233">
        <v>105</v>
      </c>
      <c r="FE31" t="s">
        <v>268</v>
      </c>
      <c r="FF31"/>
      <c r="FG31"/>
    </row>
    <row r="32" spans="1:163">
      <c r="A32" s="130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46">
        <v>0.26250000000000001</v>
      </c>
      <c r="G32" s="156">
        <v>0.76597222222222228</v>
      </c>
      <c r="H32" s="121">
        <v>8818.1</v>
      </c>
      <c r="I32" s="121">
        <v>8739</v>
      </c>
      <c r="J32" s="121">
        <v>8249.6</v>
      </c>
      <c r="K32" s="121">
        <v>8403.2000000000007</v>
      </c>
      <c r="L32" s="121">
        <v>8608.1</v>
      </c>
      <c r="M32" s="121">
        <v>8814.9</v>
      </c>
      <c r="N32" s="121">
        <v>8587.6</v>
      </c>
      <c r="O32" s="121">
        <v>9228.5</v>
      </c>
      <c r="P32" s="121">
        <v>8600.7999999999993</v>
      </c>
      <c r="Q32" s="121">
        <v>8534.7000000000007</v>
      </c>
      <c r="R32" s="121">
        <v>8811.6</v>
      </c>
      <c r="S32" s="121">
        <v>8768.7000000000007</v>
      </c>
      <c r="T32" s="121">
        <v>9042.5</v>
      </c>
      <c r="U32" s="121">
        <v>8818.4</v>
      </c>
      <c r="V32" s="121">
        <v>8920.7000000000007</v>
      </c>
      <c r="W32" s="121">
        <v>8713.6</v>
      </c>
      <c r="X32" s="192">
        <v>12239.4</v>
      </c>
      <c r="Y32" s="192">
        <v>13277.9</v>
      </c>
      <c r="Z32" s="192">
        <v>11765.7</v>
      </c>
      <c r="AA32" s="192">
        <v>12200.1</v>
      </c>
      <c r="AB32" s="192">
        <v>13202.5</v>
      </c>
      <c r="AC32" s="192">
        <v>8028</v>
      </c>
      <c r="AD32" s="192">
        <v>12361.4</v>
      </c>
      <c r="AE32" s="192">
        <v>12388.3</v>
      </c>
      <c r="AF32" s="192">
        <v>12092.3</v>
      </c>
      <c r="AG32" s="192">
        <v>12135</v>
      </c>
      <c r="AH32" s="192">
        <v>12197</v>
      </c>
      <c r="AI32" s="192">
        <v>12300.5</v>
      </c>
      <c r="AJ32" s="136">
        <v>10194.700000000001</v>
      </c>
      <c r="AK32" s="136">
        <v>10464.9</v>
      </c>
      <c r="AL32" s="136">
        <v>10179.5</v>
      </c>
      <c r="AM32" s="136">
        <v>10218.200000000001</v>
      </c>
      <c r="AN32" s="136">
        <v>10184.4</v>
      </c>
      <c r="AO32" s="136">
        <v>10451.6</v>
      </c>
      <c r="AP32" s="136">
        <v>10298.4</v>
      </c>
      <c r="AQ32" s="136">
        <v>10176.299999999999</v>
      </c>
      <c r="AR32" s="136">
        <v>8251.2000000000007</v>
      </c>
      <c r="AS32" s="136">
        <v>8323.4</v>
      </c>
      <c r="AT32" s="136">
        <v>8509.1</v>
      </c>
      <c r="AU32" s="136">
        <v>8442.2999999999993</v>
      </c>
      <c r="AV32" s="136">
        <v>8654.5</v>
      </c>
      <c r="AW32" s="136">
        <v>8464.5</v>
      </c>
      <c r="AX32" s="136">
        <v>11700</v>
      </c>
      <c r="AY32" s="136">
        <v>13054</v>
      </c>
      <c r="AZ32" s="136">
        <v>9537</v>
      </c>
      <c r="BA32" s="136">
        <v>11354</v>
      </c>
      <c r="BB32" s="136">
        <v>10428</v>
      </c>
      <c r="BC32" s="136">
        <v>8416</v>
      </c>
      <c r="BD32" s="136">
        <v>8246.7999999999993</v>
      </c>
      <c r="BE32" s="136">
        <v>11278.8</v>
      </c>
      <c r="BF32" s="136">
        <v>12168.8</v>
      </c>
      <c r="BG32" s="136">
        <v>12083.1</v>
      </c>
      <c r="BH32" s="136">
        <v>7292</v>
      </c>
      <c r="BI32" s="136">
        <v>4482.1000000000004</v>
      </c>
      <c r="BJ32" s="136">
        <v>7887</v>
      </c>
      <c r="BK32" s="136">
        <v>5586</v>
      </c>
      <c r="BL32" s="136">
        <v>7561</v>
      </c>
      <c r="BM32" s="136">
        <v>7036</v>
      </c>
      <c r="BN32" s="136">
        <v>7563</v>
      </c>
      <c r="BO32" s="136">
        <v>7968</v>
      </c>
      <c r="BP32" s="136">
        <v>7245</v>
      </c>
      <c r="BQ32" s="136">
        <v>4771</v>
      </c>
      <c r="BR32" s="136">
        <v>2742</v>
      </c>
      <c r="BS32" s="136">
        <v>0</v>
      </c>
      <c r="BT32" s="136">
        <v>2651</v>
      </c>
      <c r="BU32" s="136">
        <v>964</v>
      </c>
      <c r="BV32" s="136"/>
      <c r="BW32" s="136"/>
      <c r="BX32" s="136"/>
      <c r="BY32" s="136"/>
      <c r="BZ32" s="136">
        <v>1318</v>
      </c>
      <c r="CA32" s="136">
        <v>1127</v>
      </c>
      <c r="CB32" s="136">
        <v>4697</v>
      </c>
      <c r="CC32" s="136">
        <v>8529</v>
      </c>
      <c r="CD32" s="59">
        <v>7.0080912333333325</v>
      </c>
      <c r="CE32" s="59"/>
      <c r="CF32" s="195">
        <v>7.0078852000000111</v>
      </c>
      <c r="CG32" s="195"/>
      <c r="CH32" s="195">
        <v>0.95771016666666597</v>
      </c>
      <c r="CI32" s="195"/>
      <c r="CJ32" s="59">
        <v>1.4078384000000006</v>
      </c>
      <c r="CK32" s="59"/>
      <c r="CL32" s="195">
        <v>34.729205350118043</v>
      </c>
      <c r="CM32" s="195"/>
      <c r="CN32" s="195">
        <v>48.10381904012587</v>
      </c>
      <c r="CO32" s="195"/>
      <c r="CP32" s="195">
        <v>24.288332022029934</v>
      </c>
      <c r="CQ32" s="195"/>
      <c r="CR32" s="59">
        <v>0</v>
      </c>
      <c r="CS32" s="59"/>
      <c r="CT32" s="195">
        <v>1.0152368214004723</v>
      </c>
      <c r="CU32" s="195"/>
      <c r="CV32" s="195">
        <v>2.0910000000000002</v>
      </c>
      <c r="CW32" s="247"/>
      <c r="CX32" s="193">
        <f>IFERROR(AVERAGEIF(RD[[#This Row],[IS1POA1 (KWh/m2)]:[IS7POA2 (KWh/m2)]],"&lt;&gt;0",RD[[#This Row],[IS1POA1 (KWh/m2)]:[IS7POA2 (KWh/m2)]]),"")</f>
        <v>7.0080912333333325</v>
      </c>
      <c r="CY32" s="193">
        <f>IFERROR(AVERAGEIF(RD[[#This Row],[IS1GHI1 (KWh/m2)]:[IS7GHI2 (KWh/m2)]],"&lt;&gt;0",RD[[#This Row],[IS1GHI1 (KWh/m2)]:[IS7GHI2 (KWh/m2)]]),"")</f>
        <v>7.0078852000000111</v>
      </c>
      <c r="CZ32" s="193">
        <f>IFERROR(AVERAGEIF(RD[[#This Row],[IS1POA_BS1 (KWh/m2)]:[IS7POA_BS2 (KWh/m2)]],"&lt;&gt;0",RD[[#This Row],[IS1POA_BS1 (KWh/m2)]:[IS7POA_BS2 (KWh/m2)]]),"")</f>
        <v>0.95771016666666597</v>
      </c>
      <c r="DA32" s="193">
        <f>IFERROR(AVERAGEIF(RD[[#This Row],[IS1GHI_BS1 (KWh/m2)]:[IS1GHI_BS1 (KWh/m2)2]],"&lt;&gt;0",RD[[#This Row],[IS1GHI_BS1 (KWh/m2)]:[IS1GHI_BS1 (KWh/m2)2]]),"")</f>
        <v>1.4078384000000006</v>
      </c>
      <c r="DB32" s="193">
        <f>IFERROR(AVERAGEIF(RD[[#This Row],[IS1AT1 (°C)]:[IS7AT2 (°C)]],"&lt;&gt;0",RD[[#This Row],[IS1AT1 (°C)]:[IS7AT2 (°C)]]),"")</f>
        <v>34.729205350118043</v>
      </c>
      <c r="DC32" s="193">
        <f>IFERROR(AVERAGEIF(RD[[#This Row],[IS1MT1 (°C)]:[IS7MT2 (°C)]],"&lt;&gt;0",RD[[#This Row],[IS1MT1 (°C)]:[IS7MT2 (°C)]]),"")</f>
        <v>48.10381904012587</v>
      </c>
      <c r="DD32" s="193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193">
        <f>IFERROR(AVERAGEIF(RD[[#This Row],[WS_Solar1_Avg (m/s)]:[IS7_WS_Solar1_Avg (m/s)]],"&lt;&gt;0",RD[[#This Row],[WS_Solar1_Avg (m/s)]:[IS7_WS_Solar1_Avg (m/s)]]),"")</f>
        <v>1.0152368214004723</v>
      </c>
      <c r="DG32" s="193">
        <f>IFERROR(AVERAGEIF(RD[[#This Row],[WS_Solar1_Max (m/s)]:[IS7_WS_Solar1_Max (m/s)]],"&lt;&gt;0",RD[[#This Row],[WS_Solar1_Max (m/s)]:[IS7_WS_Solar1_Max (m/s)]]),"")</f>
        <v>2.0910000000000002</v>
      </c>
      <c r="DH32" s="193">
        <f>SUM(RD[[#This Row],[IS1Inv1M1]:[IS4Inv4M2]])</f>
        <v>283848.09999999998</v>
      </c>
      <c r="DI32" s="194">
        <f>SUM(RD[[#This Row],[IS7Inv1M1]]+RD[[#This Row],[IS7Inv2M1]])</f>
        <v>16574.599999999999</v>
      </c>
      <c r="DJ32" s="193">
        <f>SUM(RD[[#This Row],[IS5Inv1M1]:[IS5Inv2M2]])</f>
        <v>41057.300000000003</v>
      </c>
      <c r="DK32" s="193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75">
        <f>SUM(RD[[#This Row],[IS12Inv1M1]:[IS12Inv1M4]])</f>
        <v>27547</v>
      </c>
      <c r="DO32" s="275">
        <f>SUM(RD[[#This Row],[IS13Inv1M1]:[IS13Inv2M2]])</f>
        <v>6357</v>
      </c>
      <c r="DP32" s="193">
        <f>SUM(RD[[#This Row],[O2R15]:[O2R26]])</f>
        <v>614346.69999999995</v>
      </c>
      <c r="DQ32" s="158">
        <v>37665.5</v>
      </c>
      <c r="DR32" s="162">
        <v>203.8</v>
      </c>
      <c r="DS32" s="158">
        <v>32392.9</v>
      </c>
      <c r="DT32" s="158">
        <v>216</v>
      </c>
      <c r="DU32" s="162">
        <v>37345.300000000003</v>
      </c>
      <c r="DV32" s="162">
        <v>388.9</v>
      </c>
      <c r="DW32" s="158">
        <v>5451.5</v>
      </c>
      <c r="DX32" s="162">
        <v>24.2</v>
      </c>
      <c r="DY32" s="162"/>
      <c r="DZ32" s="162"/>
      <c r="EA32" s="134">
        <v>89.21</v>
      </c>
      <c r="EB32" s="230">
        <v>115393232</v>
      </c>
      <c r="EC32" s="229">
        <v>886279.61600000004</v>
      </c>
      <c r="ED32" s="230">
        <v>1060</v>
      </c>
      <c r="EE32" s="230">
        <v>109734</v>
      </c>
      <c r="EF32" s="158">
        <v>160062.20000000001</v>
      </c>
      <c r="EG32" s="158">
        <v>1747.3</v>
      </c>
      <c r="EH32" s="140">
        <f>IF((RD[[#This Row],[33 kV_F3_Ex
Incomer1]]-DQ31)*1000&lt;0,0,(RD[[#This Row],[33 kV_F3_Ex
Incomer1]]-DQ31)*1000)</f>
        <v>96000</v>
      </c>
      <c r="EI32" s="140">
        <f>IF((RD[[#This Row],[34 kV_F3_Im
Incomer1]]-DR31)*1000&lt;0,0,(RD[[#This Row],[34 kV_F3_Im
Incomer1]]-DR31)*1000)</f>
        <v>400.00000000000568</v>
      </c>
      <c r="EJ32" s="140">
        <f>IF((RD[[#This Row],[33 kV_F4_Ex
Incomer2]]-DS31)*1000&lt;0,0,(RD[[#This Row],[33 kV_F4_Ex
Incomer2]]-DS31)*1000)</f>
        <v>90000</v>
      </c>
      <c r="EK32" s="140">
        <f>IF((RD[[#This Row],[34 kV_F4_Im
Incomer2]]-DT31)*1000&lt;0,0,(RD[[#This Row],[34 kV_F4_Im
Incomer2]]-DT31)*1000)</f>
        <v>199.99999999998863</v>
      </c>
      <c r="EL32" s="140">
        <f>IF((RD[[#This Row],[33 kV_F5_Ex
Incomer3]]-DU31)*1000&lt;0,0,(RD[[#This Row],[33 kV_F5_Ex
Incomer3]]-DU31)*1000)</f>
        <v>118000</v>
      </c>
      <c r="EM32" s="140">
        <f>IF((RD[[#This Row],[34 kV_F5_Im
Incomer3]]-DV31)*1000&lt;0,0,(RD[[#This Row],[34 kV_F5_Im
Incomer3]]-DV31)*1000)</f>
        <v>500</v>
      </c>
      <c r="EN32" s="140">
        <f>IF((RD[[#This Row],[33 kV_F6_Ex
Incomer4]]-DW31)*1000&lt;0,0,(RD[[#This Row],[33 kV_F6_Ex
Incomer4]]-DW31)*1000)</f>
        <v>99800.000000000175</v>
      </c>
      <c r="EO32" s="140">
        <f>IF((RD[[#This Row],[33 kV_F6_Im
Incomer4]]-DX31)*1000&lt;0,0,(RD[[#This Row],[33 kV_F6_Im
Incomer4]]-DX31)*1000)</f>
        <v>399.99999999999858</v>
      </c>
      <c r="EP32" s="140">
        <f>IF((RD[[#This Row],[33 kV_F7_Ex
Incomer5]]-DY31)*1000&lt;0,0,(RD[[#This Row],[33 kV_F7_Ex
Incomer5]]-DY31)*1000)</f>
        <v>0</v>
      </c>
      <c r="EQ32" s="140">
        <f>IF((RD[[#This Row],[33 kV_F7_Im
Incomer5]]-DZ31)*1000&lt;0,0,(RD[[#This Row],[33 kV_F7_Im
Incomer5]]-DZ31)*1000)</f>
        <v>0</v>
      </c>
      <c r="ER32" s="140">
        <f>IF((RD[[#This Row],[33 kV_Aux Trafo]]-EA31)*1000&lt;0,0,(RD[[#This Row],[33 kV_Aux Trafo]]-EA31)*1000)</f>
        <v>209.99999999999375</v>
      </c>
      <c r="ES32" s="152">
        <f>IF((RD[[#This Row],[33kV_OG1_Ex_]]-EB31)*1&lt;0,0,(RD[[#This Row],[33kV_OG1_Ex_]]-EB31)*1)</f>
        <v>603504</v>
      </c>
      <c r="ET32" s="140">
        <f>IF((RD[[#This Row],[33kV_OG1_Im]]-EC31)*1&lt;0,0,(RD[[#This Row],[33kV_OG1_Im]]-EC31)*1)</f>
        <v>2241.8560000000289</v>
      </c>
      <c r="EU32" s="140">
        <f>IF((RD[[#This Row],[132kV_TX1_EX]]-ED31)*720&lt;=0,"",(RD[[#This Row],[132kV_TX1_EX]]-ED31)*720)</f>
        <v>2160</v>
      </c>
      <c r="EV32" s="140">
        <f>IF((RD[[#This Row],[132 kV_Tx1_Im]]-EE31)*720&lt;=0,0,(RD[[#This Row],[132 kV_Tx1_Im]]-EE31)*720)</f>
        <v>432720</v>
      </c>
      <c r="EW32" s="140">
        <f>IF((RD[[#This Row],[132kV_L1_Ex]]-EF31)*720&lt;=0,0,(RD[[#This Row],[132kV_L1_Ex]]-EF31)*720)</f>
        <v>601344.00000000838</v>
      </c>
      <c r="EX32" s="140">
        <f>IF((RD[[#This Row],[132kV_L1_Im]]-EG31)*720&lt;=0,0,(RD[[#This Row],[132kV_L1_Im]]-EG31)*720)</f>
        <v>2807.9999999999018</v>
      </c>
      <c r="EY32" s="231">
        <f>IFERROR(RD[[#This Row],[33kV_OG1_Ex (MWh)]]+RD[[#This Row],[33kV_OG1_Im (MWh)]],"")</f>
        <v>605745.85600000003</v>
      </c>
      <c r="EZ32" s="142">
        <f>RD[[#This Row],[33kV_OG1_Ex (MWh)]]-RD[[#This Row],[33kV_OG1_Im (MWh)]]</f>
        <v>601262.14399999997</v>
      </c>
      <c r="FA32" s="142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32">
        <f>IFERROR((RD[[#This Row],[Sunset Time (POA&lt;20 W/m2)]]-RD[[#This Row],[Sunrise Time (POA&gt;20 W/m2)]])*24,0)</f>
        <v>12.083333333333336</v>
      </c>
      <c r="FD32" s="233">
        <v>105</v>
      </c>
      <c r="FE32" t="s">
        <v>277</v>
      </c>
      <c r="FF32"/>
      <c r="FG32" s="138" t="str">
        <f>IFERROR(RD[[#This Row],[E_AC (WPR)]]/RD[[#This Row],[E_DC (WPR)]],"")</f>
        <v/>
      </c>
    </row>
    <row r="33" spans="1:163">
      <c r="A33" s="130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46">
        <v>0.26111111111111113</v>
      </c>
      <c r="G33" s="156">
        <v>0.77013888888888893</v>
      </c>
      <c r="H33" s="121">
        <v>6436.5</v>
      </c>
      <c r="I33" s="121">
        <v>6445.1</v>
      </c>
      <c r="J33" s="121">
        <v>6030.3</v>
      </c>
      <c r="K33" s="121">
        <v>6084.3</v>
      </c>
      <c r="L33" s="121">
        <v>6257.3</v>
      </c>
      <c r="M33" s="121">
        <v>6412.3</v>
      </c>
      <c r="N33" s="121">
        <v>6209.6</v>
      </c>
      <c r="O33" s="121">
        <v>6774.2</v>
      </c>
      <c r="P33" s="121">
        <v>6286.7</v>
      </c>
      <c r="Q33" s="121">
        <v>6233.4</v>
      </c>
      <c r="R33" s="121">
        <v>6510</v>
      </c>
      <c r="S33" s="121">
        <v>6496.9</v>
      </c>
      <c r="T33" s="121">
        <v>6660.2</v>
      </c>
      <c r="U33" s="121">
        <v>6506.6</v>
      </c>
      <c r="V33" s="121">
        <v>6591.8</v>
      </c>
      <c r="W33" s="121">
        <v>6375.4</v>
      </c>
      <c r="X33" s="192">
        <v>9136.6</v>
      </c>
      <c r="Y33" s="192">
        <v>9993.2999999999993</v>
      </c>
      <c r="Z33" s="192">
        <v>8662.2999999999993</v>
      </c>
      <c r="AA33" s="192">
        <v>8989</v>
      </c>
      <c r="AB33" s="192">
        <v>9946.2999999999993</v>
      </c>
      <c r="AC33" s="192">
        <v>6109.7</v>
      </c>
      <c r="AD33" s="192">
        <v>9183.6</v>
      </c>
      <c r="AE33" s="192">
        <v>9143.7999999999993</v>
      </c>
      <c r="AF33" s="192">
        <v>9029.1</v>
      </c>
      <c r="AG33" s="192">
        <v>9099</v>
      </c>
      <c r="AH33" s="192">
        <v>9036.5</v>
      </c>
      <c r="AI33" s="192">
        <v>9146.1</v>
      </c>
      <c r="AJ33" s="136">
        <v>7474.9</v>
      </c>
      <c r="AK33" s="136">
        <v>7577.3</v>
      </c>
      <c r="AL33" s="136">
        <v>7275.8</v>
      </c>
      <c r="AM33" s="136">
        <v>7309.9</v>
      </c>
      <c r="AN33" s="136">
        <v>7375.6</v>
      </c>
      <c r="AO33" s="136">
        <v>7565.1</v>
      </c>
      <c r="AP33" s="136">
        <v>7484.9</v>
      </c>
      <c r="AQ33" s="136">
        <v>7348.6</v>
      </c>
      <c r="AR33" s="136">
        <v>5878</v>
      </c>
      <c r="AS33" s="136">
        <v>5946</v>
      </c>
      <c r="AT33" s="136">
        <v>5997.5</v>
      </c>
      <c r="AU33" s="136">
        <v>5962</v>
      </c>
      <c r="AV33" s="136">
        <v>6123</v>
      </c>
      <c r="AW33" s="136">
        <v>6015.4</v>
      </c>
      <c r="AX33" s="136">
        <v>8492</v>
      </c>
      <c r="AY33" s="136">
        <v>9452</v>
      </c>
      <c r="AZ33" s="136">
        <v>6861</v>
      </c>
      <c r="BA33" s="136">
        <v>8171</v>
      </c>
      <c r="BB33" s="136">
        <v>8594</v>
      </c>
      <c r="BC33" s="136">
        <v>7012</v>
      </c>
      <c r="BD33" s="136">
        <v>6011</v>
      </c>
      <c r="BE33" s="136">
        <v>8118</v>
      </c>
      <c r="BF33" s="136">
        <v>8849</v>
      </c>
      <c r="BG33" s="136">
        <v>8832</v>
      </c>
      <c r="BH33" s="136">
        <v>5308</v>
      </c>
      <c r="BI33" s="136">
        <v>3270</v>
      </c>
      <c r="BJ33" s="136">
        <v>5839</v>
      </c>
      <c r="BK33" s="136">
        <v>4319</v>
      </c>
      <c r="BL33" s="136">
        <v>5884</v>
      </c>
      <c r="BM33" s="136">
        <v>5150</v>
      </c>
      <c r="BN33" s="136">
        <v>5377</v>
      </c>
      <c r="BO33" s="136">
        <v>5692</v>
      </c>
      <c r="BP33" s="136">
        <v>5475</v>
      </c>
      <c r="BQ33" s="136">
        <v>3415</v>
      </c>
      <c r="BR33" s="136">
        <v>3119</v>
      </c>
      <c r="BS33" s="136">
        <v>0</v>
      </c>
      <c r="BT33" s="136">
        <v>1953</v>
      </c>
      <c r="BU33" s="136">
        <v>769</v>
      </c>
      <c r="BV33" s="136"/>
      <c r="BW33" s="136"/>
      <c r="BX33" s="136"/>
      <c r="BY33" s="136"/>
      <c r="BZ33" s="136">
        <v>929</v>
      </c>
      <c r="CA33" s="136">
        <v>790</v>
      </c>
      <c r="CB33" s="136">
        <v>3402</v>
      </c>
      <c r="CC33" s="136">
        <v>6231</v>
      </c>
      <c r="CD33" s="59">
        <v>4.9439592833333368</v>
      </c>
      <c r="CE33" s="59"/>
      <c r="CF33" s="195">
        <v>4.940709433333331</v>
      </c>
      <c r="CG33" s="195"/>
      <c r="CH33" s="195">
        <v>0.74732183333333502</v>
      </c>
      <c r="CI33" s="195"/>
      <c r="CJ33" s="59">
        <v>0.98833121666666535</v>
      </c>
      <c r="CK33" s="59"/>
      <c r="CL33" s="195">
        <v>33.198866559485467</v>
      </c>
      <c r="CM33" s="195"/>
      <c r="CN33" s="195">
        <v>43.480128617363356</v>
      </c>
      <c r="CO33" s="195"/>
      <c r="CP33" s="195">
        <v>26.850530546623823</v>
      </c>
      <c r="CQ33" s="195"/>
      <c r="CR33" s="59">
        <v>0</v>
      </c>
      <c r="CS33" s="59"/>
      <c r="CT33" s="195">
        <v>1.1836085209003226</v>
      </c>
      <c r="CU33" s="195"/>
      <c r="CV33" s="195">
        <v>3.0449999999999999</v>
      </c>
      <c r="CW33" s="247"/>
      <c r="CX33" s="193">
        <f>IFERROR(AVERAGEIF(RD[[#This Row],[IS1POA1 (KWh/m2)]:[IS7POA2 (KWh/m2)]],"&lt;&gt;0",RD[[#This Row],[IS1POA1 (KWh/m2)]:[IS7POA2 (KWh/m2)]]),"")</f>
        <v>4.9439592833333368</v>
      </c>
      <c r="CY33" s="193">
        <f>IFERROR(AVERAGEIF(RD[[#This Row],[IS1GHI1 (KWh/m2)]:[IS7GHI2 (KWh/m2)]],"&lt;&gt;0",RD[[#This Row],[IS1GHI1 (KWh/m2)]:[IS7GHI2 (KWh/m2)]]),"")</f>
        <v>4.940709433333331</v>
      </c>
      <c r="CZ33" s="193">
        <f>IFERROR(AVERAGEIF(RD[[#This Row],[IS1POA_BS1 (KWh/m2)]:[IS7POA_BS2 (KWh/m2)]],"&lt;&gt;0",RD[[#This Row],[IS1POA_BS1 (KWh/m2)]:[IS7POA_BS2 (KWh/m2)]]),"")</f>
        <v>0.74732183333333502</v>
      </c>
      <c r="DA33" s="193">
        <f>IFERROR(AVERAGEIF(RD[[#This Row],[IS1GHI_BS1 (KWh/m2)]:[IS1GHI_BS1 (KWh/m2)2]],"&lt;&gt;0",RD[[#This Row],[IS1GHI_BS1 (KWh/m2)]:[IS1GHI_BS1 (KWh/m2)2]]),"")</f>
        <v>0.98833121666666535</v>
      </c>
      <c r="DB33" s="193">
        <f>IFERROR(AVERAGEIF(RD[[#This Row],[IS1AT1 (°C)]:[IS7AT2 (°C)]],"&lt;&gt;0",RD[[#This Row],[IS1AT1 (°C)]:[IS7AT2 (°C)]]),"")</f>
        <v>33.198866559485467</v>
      </c>
      <c r="DC33" s="193">
        <f>IFERROR(AVERAGEIF(RD[[#This Row],[IS1MT1 (°C)]:[IS7MT2 (°C)]],"&lt;&gt;0",RD[[#This Row],[IS1MT1 (°C)]:[IS7MT2 (°C)]]),"")</f>
        <v>43.480128617363356</v>
      </c>
      <c r="DD33" s="193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193">
        <f>IFERROR(AVERAGEIF(RD[[#This Row],[WS_Solar1_Avg (m/s)]:[IS7_WS_Solar1_Avg (m/s)]],"&lt;&gt;0",RD[[#This Row],[WS_Solar1_Avg (m/s)]:[IS7_WS_Solar1_Avg (m/s)]]),"")</f>
        <v>1.1836085209003226</v>
      </c>
      <c r="DG33" s="193">
        <f>IFERROR(AVERAGEIF(RD[[#This Row],[WS_Solar1_Max (m/s)]:[IS7_WS_Solar1_Max (m/s)]],"&lt;&gt;0",RD[[#This Row],[WS_Solar1_Max (m/s)]:[IS7_WS_Solar1_Max (m/s)]]),"")</f>
        <v>3.0449999999999999</v>
      </c>
      <c r="DH33" s="193">
        <f>SUM(RD[[#This Row],[IS1Inv1M1]:[IS4Inv4M2]])</f>
        <v>209785.9</v>
      </c>
      <c r="DI33" s="194">
        <f>SUM(RD[[#This Row],[IS7Inv1M1]]+RD[[#This Row],[IS7Inv2M1]])</f>
        <v>11824</v>
      </c>
      <c r="DJ33" s="193">
        <f>SUM(RD[[#This Row],[IS5Inv1M1]:[IS5Inv2M2]])</f>
        <v>29637.9</v>
      </c>
      <c r="DK33" s="193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75">
        <f>SUM(RD[[#This Row],[IS12Inv1M1]:[IS12Inv1M4]])</f>
        <v>19959</v>
      </c>
      <c r="DO33" s="275">
        <f>SUM(RD[[#This Row],[IS13Inv1M1]:[IS13Inv2M2]])</f>
        <v>5841</v>
      </c>
      <c r="DP33" s="193">
        <f>SUM(RD[[#This Row],[O2R15]:[O2R26]])</f>
        <v>452433.9</v>
      </c>
      <c r="DQ33" s="158">
        <v>37737</v>
      </c>
      <c r="DR33" s="162">
        <v>204</v>
      </c>
      <c r="DS33" s="158">
        <v>32460</v>
      </c>
      <c r="DT33" s="158">
        <v>216.3</v>
      </c>
      <c r="DU33" s="162">
        <v>37430.400000000001</v>
      </c>
      <c r="DV33" s="162">
        <v>389.3</v>
      </c>
      <c r="DW33" s="158">
        <v>5526.7</v>
      </c>
      <c r="DX33" s="162">
        <v>24.7</v>
      </c>
      <c r="DY33" s="162"/>
      <c r="DZ33" s="162"/>
      <c r="EA33" s="134">
        <v>89.42</v>
      </c>
      <c r="EB33" s="230">
        <v>115839008</v>
      </c>
      <c r="EC33" s="229">
        <v>888411.26399999997</v>
      </c>
      <c r="ED33" s="230">
        <v>1063</v>
      </c>
      <c r="EE33" s="230">
        <v>110178</v>
      </c>
      <c r="EF33" s="158">
        <v>160679.4</v>
      </c>
      <c r="EG33" s="158">
        <v>1751</v>
      </c>
      <c r="EH33" s="140">
        <f>IF((RD[[#This Row],[33 kV_F3_Ex
Incomer1]]-DQ32)*1000&lt;0,0,(RD[[#This Row],[33 kV_F3_Ex
Incomer1]]-DQ32)*1000)</f>
        <v>71500</v>
      </c>
      <c r="EI33" s="140">
        <f>IF((RD[[#This Row],[34 kV_F3_Im
Incomer1]]-DR32)*1000&lt;0,0,(RD[[#This Row],[34 kV_F3_Im
Incomer1]]-DR32)*1000)</f>
        <v>199.99999999998863</v>
      </c>
      <c r="EJ33" s="140">
        <f>IF((RD[[#This Row],[33 kV_F4_Ex
Incomer2]]-DS32)*1000&lt;0,0,(RD[[#This Row],[33 kV_F4_Ex
Incomer2]]-DS32)*1000)</f>
        <v>67099.999999998545</v>
      </c>
      <c r="EK33" s="140">
        <f>IF((RD[[#This Row],[34 kV_F4_Im
Incomer2]]-DT32)*1000&lt;0,0,(RD[[#This Row],[34 kV_F4_Im
Incomer2]]-DT32)*1000)</f>
        <v>300.00000000001137</v>
      </c>
      <c r="EL33" s="140">
        <f>IF((RD[[#This Row],[33 kV_F5_Ex
Incomer3]]-DU32)*1000&lt;0,0,(RD[[#This Row],[33 kV_F5_Ex
Incomer3]]-DU32)*1000)</f>
        <v>85099.999999998545</v>
      </c>
      <c r="EM33" s="140">
        <f>IF((RD[[#This Row],[34 kV_F5_Im
Incomer3]]-DV32)*1000&lt;0,0,(RD[[#This Row],[34 kV_F5_Im
Incomer3]]-DV32)*1000)</f>
        <v>400.00000000003411</v>
      </c>
      <c r="EN33" s="140">
        <f>IF((RD[[#This Row],[33 kV_F6_Ex
Incomer4]]-DW32)*1000&lt;0,0,(RD[[#This Row],[33 kV_F6_Ex
Incomer4]]-DW32)*1000)</f>
        <v>75199.999999999825</v>
      </c>
      <c r="EO33" s="140">
        <f>IF((RD[[#This Row],[33 kV_F6_Im
Incomer4]]-DX32)*1000&lt;0,0,(RD[[#This Row],[33 kV_F6_Im
Incomer4]]-DX32)*1000)</f>
        <v>500</v>
      </c>
      <c r="EP33" s="140">
        <f>IF((RD[[#This Row],[33 kV_F7_Ex
Incomer5]]-DY32)*1000&lt;0,0,(RD[[#This Row],[33 kV_F7_Ex
Incomer5]]-DY32)*1000)</f>
        <v>0</v>
      </c>
      <c r="EQ33" s="140">
        <f>IF((RD[[#This Row],[33 kV_F7_Im
Incomer5]]-DZ32)*1000&lt;0,0,(RD[[#This Row],[33 kV_F7_Im
Incomer5]]-DZ32)*1000)</f>
        <v>0</v>
      </c>
      <c r="ER33" s="140">
        <f>IF((RD[[#This Row],[33 kV_Aux Trafo]]-EA32)*1000&lt;0,0,(RD[[#This Row],[33 kV_Aux Trafo]]-EA32)*1000)</f>
        <v>210.00000000000796</v>
      </c>
      <c r="ES33" s="152">
        <f>IF((RD[[#This Row],[33kV_OG1_Ex_]]-EB32)*1&lt;0,0,(RD[[#This Row],[33kV_OG1_Ex_]]-EB32)*1)</f>
        <v>445776</v>
      </c>
      <c r="ET33" s="140">
        <f>IF((RD[[#This Row],[33kV_OG1_Im]]-EC32)*1&lt;0,0,(RD[[#This Row],[33kV_OG1_Im]]-EC32)*1)</f>
        <v>2131.6479999999283</v>
      </c>
      <c r="EU33" s="140">
        <f>IF((RD[[#This Row],[132kV_TX1_EX]]-ED32)*720&lt;=0,"",(RD[[#This Row],[132kV_TX1_EX]]-ED32)*720)</f>
        <v>2160</v>
      </c>
      <c r="EV33" s="140">
        <f>IF((RD[[#This Row],[132 kV_Tx1_Im]]-EE32)*720&lt;=0,0,(RD[[#This Row],[132 kV_Tx1_Im]]-EE32)*720)</f>
        <v>319680</v>
      </c>
      <c r="EW33" s="140">
        <f>IF((RD[[#This Row],[132kV_L1_Ex]]-EF32)*720&lt;=0,0,(RD[[#This Row],[132kV_L1_Ex]]-EF32)*720)</f>
        <v>444383.99999998743</v>
      </c>
      <c r="EX33" s="140">
        <f>IF((RD[[#This Row],[132kV_L1_Im]]-EG32)*720&lt;=0,0,(RD[[#This Row],[132kV_L1_Im]]-EG32)*720)</f>
        <v>2664.0000000000327</v>
      </c>
      <c r="EY33" s="231">
        <f>IFERROR(RD[[#This Row],[33kV_OG1_Ex (MWh)]]+RD[[#This Row],[33kV_OG1_Im (MWh)]],"")</f>
        <v>447907.64799999993</v>
      </c>
      <c r="EZ33" s="142">
        <f>RD[[#This Row],[33kV_OG1_Ex (MWh)]]-RD[[#This Row],[33kV_OG1_Im (MWh)]]</f>
        <v>443644.35200000007</v>
      </c>
      <c r="FA33" s="142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32">
        <f>IFERROR((RD[[#This Row],[Sunset Time (POA&lt;20 W/m2)]]-RD[[#This Row],[Sunrise Time (POA&gt;20 W/m2)]])*24,0)</f>
        <v>12.216666666666669</v>
      </c>
      <c r="FD33" s="233">
        <v>105</v>
      </c>
      <c r="FE33" t="s">
        <v>266</v>
      </c>
      <c r="FG33" s="138" t="str">
        <f>IFERROR(RD[[#This Row],[E_AC (WPR)]]/RD[[#This Row],[E_DC (WPR)]],"")</f>
        <v/>
      </c>
    </row>
    <row r="34" spans="1:163">
      <c r="A34" s="130">
        <f t="shared" si="157"/>
        <v>45774</v>
      </c>
      <c r="B34" s="132">
        <f>YEAR(RD[[#This Row],[Date]])+IF(MONTH(RD[[#This Row],[Date]])&gt;=4,1,0)</f>
        <v>2026</v>
      </c>
      <c r="C34" s="132">
        <f>YEAR(RD[[#This Row],[Date]])</f>
        <v>2025</v>
      </c>
      <c r="D34" s="133">
        <f t="shared" ref="D34:D48" si="158">A34-DAY(A34)+1</f>
        <v>45748</v>
      </c>
      <c r="E34" s="132">
        <f>DAY(EOMONTH(RD[[#This Row],[Date]],0))</f>
        <v>30</v>
      </c>
      <c r="F34" s="146">
        <v>0.26041666666666669</v>
      </c>
      <c r="G34" s="156">
        <v>0.7680555555555556</v>
      </c>
      <c r="H34" s="121">
        <v>9324.2000000000007</v>
      </c>
      <c r="I34" s="121">
        <v>9314.7000000000007</v>
      </c>
      <c r="J34" s="121">
        <v>8849.7000000000007</v>
      </c>
      <c r="K34" s="121">
        <v>8962</v>
      </c>
      <c r="L34" s="121">
        <v>9144.1</v>
      </c>
      <c r="M34" s="121">
        <v>9289.1</v>
      </c>
      <c r="N34" s="121">
        <v>9085.7000000000007</v>
      </c>
      <c r="O34" s="121">
        <v>9691.4</v>
      </c>
      <c r="P34" s="121">
        <v>9068.5</v>
      </c>
      <c r="Q34" s="121">
        <v>9032.6</v>
      </c>
      <c r="R34" s="121">
        <v>9300</v>
      </c>
      <c r="S34" s="121">
        <v>9249.2000000000007</v>
      </c>
      <c r="T34" s="121">
        <v>9517.7999999999993</v>
      </c>
      <c r="U34" s="121">
        <v>9306.7999999999993</v>
      </c>
      <c r="V34" s="121">
        <v>9408.6</v>
      </c>
      <c r="W34" s="121">
        <v>9232.2999999999993</v>
      </c>
      <c r="X34" s="192">
        <v>13058.3</v>
      </c>
      <c r="Y34" s="192">
        <v>13986</v>
      </c>
      <c r="Z34" s="192">
        <v>12585.8</v>
      </c>
      <c r="AA34" s="192">
        <v>13037.2</v>
      </c>
      <c r="AB34" s="192">
        <v>13881.7</v>
      </c>
      <c r="AC34" s="192">
        <v>8692</v>
      </c>
      <c r="AD34" s="192">
        <v>13099</v>
      </c>
      <c r="AE34" s="192">
        <v>13113.1</v>
      </c>
      <c r="AF34" s="192">
        <v>13034</v>
      </c>
      <c r="AG34" s="192">
        <v>13003</v>
      </c>
      <c r="AH34" s="192">
        <v>13036.4</v>
      </c>
      <c r="AI34" s="192">
        <v>13132.1</v>
      </c>
      <c r="AJ34" s="136">
        <v>10754.7</v>
      </c>
      <c r="AK34" s="136">
        <v>11041.9</v>
      </c>
      <c r="AL34" s="136">
        <v>10776.1</v>
      </c>
      <c r="AM34" s="136">
        <v>10831.1</v>
      </c>
      <c r="AN34" s="136">
        <v>10850</v>
      </c>
      <c r="AO34" s="136">
        <v>11255.4</v>
      </c>
      <c r="AP34" s="136">
        <v>11071.8</v>
      </c>
      <c r="AQ34" s="136">
        <v>10951</v>
      </c>
      <c r="AR34" s="136">
        <v>8947.7999999999993</v>
      </c>
      <c r="AS34" s="136">
        <v>9000.6</v>
      </c>
      <c r="AT34" s="136">
        <v>8997.6</v>
      </c>
      <c r="AU34" s="136">
        <v>8936.1</v>
      </c>
      <c r="AV34" s="136">
        <v>9133</v>
      </c>
      <c r="AW34" s="136">
        <v>9018.9</v>
      </c>
      <c r="AX34" s="136">
        <v>12419</v>
      </c>
      <c r="AY34" s="136">
        <v>13737</v>
      </c>
      <c r="AZ34" s="136">
        <v>10126</v>
      </c>
      <c r="BA34" s="136">
        <v>12095</v>
      </c>
      <c r="BB34" s="136">
        <v>12774</v>
      </c>
      <c r="BC34" s="136">
        <v>10499</v>
      </c>
      <c r="BD34" s="136">
        <v>8851</v>
      </c>
      <c r="BE34" s="136">
        <v>12002</v>
      </c>
      <c r="BF34" s="136">
        <v>12657</v>
      </c>
      <c r="BG34" s="136">
        <v>13257</v>
      </c>
      <c r="BH34" s="136">
        <v>7942</v>
      </c>
      <c r="BI34" s="136">
        <v>4837</v>
      </c>
      <c r="BJ34" s="136">
        <v>8539</v>
      </c>
      <c r="BK34" s="136">
        <v>6307</v>
      </c>
      <c r="BL34" s="136">
        <v>8021</v>
      </c>
      <c r="BM34" s="136">
        <v>7731</v>
      </c>
      <c r="BN34" s="136">
        <v>8045</v>
      </c>
      <c r="BO34" s="136">
        <v>8462</v>
      </c>
      <c r="BP34" s="136">
        <v>8232</v>
      </c>
      <c r="BQ34" s="136">
        <v>5485</v>
      </c>
      <c r="BR34" s="136">
        <v>4662</v>
      </c>
      <c r="BS34" s="136">
        <v>0</v>
      </c>
      <c r="BT34" s="136">
        <v>2809</v>
      </c>
      <c r="BU34" s="136">
        <v>1118</v>
      </c>
      <c r="BV34" s="136"/>
      <c r="BW34" s="136"/>
      <c r="BX34" s="136"/>
      <c r="BY34" s="136"/>
      <c r="BZ34" s="136">
        <v>1398</v>
      </c>
      <c r="CA34" s="136">
        <v>1196</v>
      </c>
      <c r="CB34" s="136">
        <v>4969</v>
      </c>
      <c r="CC34" s="136">
        <v>9008</v>
      </c>
      <c r="CD34" s="59">
        <v>7.5635796833333417</v>
      </c>
      <c r="CE34" s="59"/>
      <c r="CF34" s="195">
        <v>7.6219880333333352</v>
      </c>
      <c r="CG34" s="195"/>
      <c r="CH34" s="195">
        <v>1.0114160166666659</v>
      </c>
      <c r="CI34" s="195"/>
      <c r="CJ34" s="59">
        <v>1.4941409499999989</v>
      </c>
      <c r="CK34" s="59"/>
      <c r="CL34" s="195">
        <v>33.387426686217069</v>
      </c>
      <c r="CM34" s="195"/>
      <c r="CN34" s="195">
        <v>46.429399560117247</v>
      </c>
      <c r="CO34" s="195"/>
      <c r="CP34" s="195">
        <v>24.688885630498554</v>
      </c>
      <c r="CQ34" s="195"/>
      <c r="CR34" s="59">
        <v>0</v>
      </c>
      <c r="CS34" s="59"/>
      <c r="CT34" s="195">
        <v>0.83431231671554296</v>
      </c>
      <c r="CU34" s="195"/>
      <c r="CV34" s="195">
        <v>3.3090000000000002</v>
      </c>
      <c r="CW34" s="247"/>
      <c r="CX34" s="193">
        <f>IFERROR(AVERAGEIF(RD[[#This Row],[IS1POA1 (KWh/m2)]:[IS7POA2 (KWh/m2)]],"&lt;&gt;0",RD[[#This Row],[IS1POA1 (KWh/m2)]:[IS7POA2 (KWh/m2)]]),"")</f>
        <v>7.5635796833333417</v>
      </c>
      <c r="CY34" s="193">
        <f>IFERROR(AVERAGEIF(RD[[#This Row],[IS1GHI1 (KWh/m2)]:[IS7GHI2 (KWh/m2)]],"&lt;&gt;0",RD[[#This Row],[IS1GHI1 (KWh/m2)]:[IS7GHI2 (KWh/m2)]]),"")</f>
        <v>7.6219880333333352</v>
      </c>
      <c r="CZ34" s="193">
        <f>IFERROR(AVERAGEIF(RD[[#This Row],[IS1POA_BS1 (KWh/m2)]:[IS7POA_BS2 (KWh/m2)]],"&lt;&gt;0",RD[[#This Row],[IS1POA_BS1 (KWh/m2)]:[IS7POA_BS2 (KWh/m2)]]),"")</f>
        <v>1.0114160166666659</v>
      </c>
      <c r="DA34" s="193">
        <f>IFERROR(AVERAGEIF(RD[[#This Row],[IS1GHI_BS1 (KWh/m2)]:[IS1GHI_BS1 (KWh/m2)2]],"&lt;&gt;0",RD[[#This Row],[IS1GHI_BS1 (KWh/m2)]:[IS1GHI_BS1 (KWh/m2)2]]),"")</f>
        <v>1.4941409499999989</v>
      </c>
      <c r="DB34" s="193">
        <f>IFERROR(AVERAGEIF(RD[[#This Row],[IS1AT1 (°C)]:[IS7AT2 (°C)]],"&lt;&gt;0",RD[[#This Row],[IS1AT1 (°C)]:[IS7AT2 (°C)]]),"")</f>
        <v>33.387426686217069</v>
      </c>
      <c r="DC34" s="193">
        <f>IFERROR(AVERAGEIF(RD[[#This Row],[IS1MT1 (°C)]:[IS7MT2 (°C)]],"&lt;&gt;0",RD[[#This Row],[IS1MT1 (°C)]:[IS7MT2 (°C)]]),"")</f>
        <v>46.429399560117247</v>
      </c>
      <c r="DD34" s="193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193">
        <f>IFERROR(AVERAGEIF(RD[[#This Row],[WS_Solar1_Avg (m/s)]:[IS7_WS_Solar1_Avg (m/s)]],"&lt;&gt;0",RD[[#This Row],[WS_Solar1_Avg (m/s)]:[IS7_WS_Solar1_Avg (m/s)]]),"")</f>
        <v>0.83431231671554296</v>
      </c>
      <c r="DG34" s="193">
        <f>IFERROR(AVERAGEIF(RD[[#This Row],[WS_Solar1_Max (m/s)]:[IS7_WS_Solar1_Max (m/s)]],"&lt;&gt;0",RD[[#This Row],[WS_Solar1_Max (m/s)]:[IS7_WS_Solar1_Max (m/s)]]),"")</f>
        <v>3.3090000000000002</v>
      </c>
      <c r="DH34" s="193">
        <f>SUM(RD[[#This Row],[IS1Inv1M1]:[IS4Inv4M2]])</f>
        <v>301435.3</v>
      </c>
      <c r="DI34" s="194">
        <f>SUM(RD[[#This Row],[IS7Inv1M1]]+RD[[#This Row],[IS7Inv2M1]])</f>
        <v>17948.400000000001</v>
      </c>
      <c r="DJ34" s="193">
        <f>SUM(RD[[#This Row],[IS5Inv1M1]:[IS5Inv2M2]])</f>
        <v>43403.799999999996</v>
      </c>
      <c r="DK34" s="193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75">
        <f>SUM(RD[[#This Row],[IS12Inv1M1]:[IS12Inv1M4]])</f>
        <v>30224</v>
      </c>
      <c r="DO34" s="275">
        <f>SUM(RD[[#This Row],[IS13Inv1M1]:[IS13Inv2M2]])</f>
        <v>8589</v>
      </c>
      <c r="DP34" s="193">
        <f>SUM(RD[[#This Row],[O2R15]:[O2R26]])</f>
        <v>660179.30000000005</v>
      </c>
      <c r="DQ34" s="158">
        <v>37839.199999999997</v>
      </c>
      <c r="DR34" s="162">
        <v>204.2</v>
      </c>
      <c r="DS34" s="158">
        <v>32555.9</v>
      </c>
      <c r="DT34" s="158">
        <v>216.5</v>
      </c>
      <c r="DU34" s="162">
        <v>37555.699999999997</v>
      </c>
      <c r="DV34" s="162">
        <v>389.7</v>
      </c>
      <c r="DW34" s="158">
        <v>5637.4</v>
      </c>
      <c r="DX34" s="162">
        <v>25.4</v>
      </c>
      <c r="DY34" s="162"/>
      <c r="DZ34" s="162"/>
      <c r="EA34" s="134">
        <v>89.61</v>
      </c>
      <c r="EB34" s="230">
        <v>116487249</v>
      </c>
      <c r="EC34" s="229">
        <v>890774.33600000001</v>
      </c>
      <c r="ED34" s="230">
        <v>1066</v>
      </c>
      <c r="EE34" s="230">
        <v>110824</v>
      </c>
      <c r="EF34" s="158">
        <v>161576.70000000001</v>
      </c>
      <c r="EG34" s="158">
        <v>1755.2</v>
      </c>
      <c r="EH34" s="140">
        <f>IF((RD[[#This Row],[33 kV_F3_Ex
Incomer1]]-DQ33)*1000&lt;0,0,(RD[[#This Row],[33 kV_F3_Ex
Incomer1]]-DQ33)*1000)</f>
        <v>102199.99999999709</v>
      </c>
      <c r="EI34" s="140">
        <f>IF((RD[[#This Row],[34 kV_F3_Im
Incomer1]]-DR33)*1000&lt;0,0,(RD[[#This Row],[34 kV_F3_Im
Incomer1]]-DR33)*1000)</f>
        <v>199.99999999998863</v>
      </c>
      <c r="EJ34" s="140">
        <f>IF((RD[[#This Row],[33 kV_F4_Ex
Incomer2]]-DS33)*1000&lt;0,0,(RD[[#This Row],[33 kV_F4_Ex
Incomer2]]-DS33)*1000)</f>
        <v>95900.000000001455</v>
      </c>
      <c r="EK34" s="140">
        <f>IF((RD[[#This Row],[34 kV_F4_Im
Incomer2]]-DT33)*1000&lt;0,0,(RD[[#This Row],[34 kV_F4_Im
Incomer2]]-DT33)*1000)</f>
        <v>199.99999999998863</v>
      </c>
      <c r="EL34" s="140">
        <f>IF((RD[[#This Row],[33 kV_F5_Ex
Incomer3]]-DU33)*1000&lt;0,0,(RD[[#This Row],[33 kV_F5_Ex
Incomer3]]-DU33)*1000)</f>
        <v>125299.99999999563</v>
      </c>
      <c r="EM34" s="140">
        <f>IF((RD[[#This Row],[34 kV_F5_Im
Incomer3]]-DV33)*1000&lt;0,0,(RD[[#This Row],[34 kV_F5_Im
Incomer3]]-DV33)*1000)</f>
        <v>399.99999999997726</v>
      </c>
      <c r="EN34" s="140">
        <f>IF((RD[[#This Row],[33 kV_F6_Ex
Incomer4]]-DW33)*1000&lt;0,0,(RD[[#This Row],[33 kV_F6_Ex
Incomer4]]-DW33)*1000)</f>
        <v>110699.99999999983</v>
      </c>
      <c r="EO34" s="140">
        <f>IF((RD[[#This Row],[33 kV_F6_Im
Incomer4]]-DX33)*1000&lt;0,0,(RD[[#This Row],[33 kV_F6_Im
Incomer4]]-DX33)*1000)</f>
        <v>699.99999999999932</v>
      </c>
      <c r="EP34" s="140">
        <f>IF((RD[[#This Row],[33 kV_F7_Ex
Incomer5]]-DY33)*1000&lt;0,0,(RD[[#This Row],[33 kV_F7_Ex
Incomer5]]-DY33)*1000)</f>
        <v>0</v>
      </c>
      <c r="EQ34" s="140">
        <f>IF((RD[[#This Row],[33 kV_F7_Im
Incomer5]]-DZ33)*1000&lt;0,0,(RD[[#This Row],[33 kV_F7_Im
Incomer5]]-DZ33)*1000)</f>
        <v>0</v>
      </c>
      <c r="ER34" s="140">
        <f>IF((RD[[#This Row],[33 kV_Aux Trafo]]-EA33)*1000&lt;0,0,(RD[[#This Row],[33 kV_Aux Trafo]]-EA33)*1000)</f>
        <v>189.99999999999773</v>
      </c>
      <c r="ES34" s="152">
        <f>IF((RD[[#This Row],[33kV_OG1_Ex_]]-EB33)*1&lt;0,0,(RD[[#This Row],[33kV_OG1_Ex_]]-EB33)*1)</f>
        <v>648241</v>
      </c>
      <c r="ET34" s="140">
        <f>IF((RD[[#This Row],[33kV_OG1_Im]]-EC33)*1&lt;0,0,(RD[[#This Row],[33kV_OG1_Im]]-EC33)*1)</f>
        <v>2363.0720000000438</v>
      </c>
      <c r="EU34" s="140">
        <f>IF((RD[[#This Row],[132kV_TX1_EX]]-ED33)*720&lt;=0,"",(RD[[#This Row],[132kV_TX1_EX]]-ED33)*720)</f>
        <v>2160</v>
      </c>
      <c r="EV34" s="140">
        <f>IF((RD[[#This Row],[132 kV_Tx1_Im]]-EE33)*720&lt;=0,0,(RD[[#This Row],[132 kV_Tx1_Im]]-EE33)*720)</f>
        <v>465120</v>
      </c>
      <c r="EW34" s="140">
        <f>IF((RD[[#This Row],[132kV_L1_Ex]]-EF33)*720&lt;=0,0,(RD[[#This Row],[132kV_L1_Ex]]-EF33)*720)</f>
        <v>646056.00000001257</v>
      </c>
      <c r="EX34" s="140">
        <f>IF((RD[[#This Row],[132kV_L1_Im]]-EG33)*720&lt;=0,0,(RD[[#This Row],[132kV_L1_Im]]-EG33)*720)</f>
        <v>3024.0000000000327</v>
      </c>
      <c r="EY34" s="231">
        <f>IFERROR(RD[[#This Row],[33kV_OG1_Ex (MWh)]]+RD[[#This Row],[33kV_OG1_Im (MWh)]],"")</f>
        <v>650604.07200000004</v>
      </c>
      <c r="EZ34" s="142">
        <f>RD[[#This Row],[33kV_OG1_Ex (MWh)]]-RD[[#This Row],[33kV_OG1_Im (MWh)]]</f>
        <v>645877.92799999996</v>
      </c>
      <c r="FA34" s="142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32">
        <f>IFERROR((RD[[#This Row],[Sunset Time (POA&lt;20 W/m2)]]-RD[[#This Row],[Sunrise Time (POA&gt;20 W/m2)]])*24,0)</f>
        <v>12.183333333333335</v>
      </c>
      <c r="FD34" s="233">
        <v>105</v>
      </c>
      <c r="FE34" t="s">
        <v>268</v>
      </c>
      <c r="FG34" s="138" t="str">
        <f>IFERROR(RD[[#This Row],[E_AC (WPR)]]/RD[[#This Row],[E_DC (WPR)]],"")</f>
        <v/>
      </c>
    </row>
    <row r="35" spans="1:163">
      <c r="A35" s="130">
        <f t="shared" si="157"/>
        <v>45775</v>
      </c>
      <c r="B35" s="132">
        <f>YEAR(RD[[#This Row],[Date]])+IF(MONTH(RD[[#This Row],[Date]])&gt;=4,1,0)</f>
        <v>2026</v>
      </c>
      <c r="C35" s="132">
        <f>YEAR(RD[[#This Row],[Date]])</f>
        <v>2025</v>
      </c>
      <c r="D35" s="133">
        <f t="shared" si="158"/>
        <v>45748</v>
      </c>
      <c r="E35" s="132">
        <f>DAY(EOMONTH(RD[[#This Row],[Date]],0))</f>
        <v>30</v>
      </c>
      <c r="F35" s="146">
        <v>0.26180555555555557</v>
      </c>
      <c r="G35" s="156">
        <v>0.76875000000000004</v>
      </c>
      <c r="H35" s="121">
        <v>9045.6</v>
      </c>
      <c r="I35" s="121">
        <v>9016.6</v>
      </c>
      <c r="J35" s="121">
        <v>8559.4</v>
      </c>
      <c r="K35" s="121">
        <v>8643.2000000000007</v>
      </c>
      <c r="L35" s="121">
        <v>8841.5</v>
      </c>
      <c r="M35" s="121">
        <v>9043.2000000000007</v>
      </c>
      <c r="N35" s="121">
        <v>8808</v>
      </c>
      <c r="O35" s="121">
        <v>9430.4</v>
      </c>
      <c r="P35" s="121">
        <v>8821.4</v>
      </c>
      <c r="Q35" s="121">
        <v>8753.2000000000007</v>
      </c>
      <c r="R35" s="121">
        <v>9023.9</v>
      </c>
      <c r="S35" s="121">
        <v>8961.1</v>
      </c>
      <c r="T35" s="121">
        <v>9250.4</v>
      </c>
      <c r="U35" s="121">
        <v>9023.2000000000007</v>
      </c>
      <c r="V35" s="121">
        <v>9145.2999999999993</v>
      </c>
      <c r="W35" s="121">
        <v>8964.6</v>
      </c>
      <c r="X35" s="192">
        <v>12709.7</v>
      </c>
      <c r="Y35" s="192">
        <v>13669.9</v>
      </c>
      <c r="Z35" s="192">
        <v>12193.2</v>
      </c>
      <c r="AA35" s="192">
        <v>12684.6</v>
      </c>
      <c r="AB35" s="192">
        <v>13469.6</v>
      </c>
      <c r="AC35" s="192">
        <v>8365.7000000000007</v>
      </c>
      <c r="AD35" s="192">
        <v>12677.4</v>
      </c>
      <c r="AE35" s="192">
        <v>12651.5</v>
      </c>
      <c r="AF35" s="192">
        <v>12563.7</v>
      </c>
      <c r="AG35" s="192">
        <v>12542</v>
      </c>
      <c r="AH35" s="192">
        <v>12625.5</v>
      </c>
      <c r="AI35" s="192">
        <v>12697</v>
      </c>
      <c r="AJ35" s="136">
        <v>10367.9</v>
      </c>
      <c r="AK35" s="136">
        <v>10618.1</v>
      </c>
      <c r="AL35" s="136">
        <v>10351.700000000001</v>
      </c>
      <c r="AM35" s="136">
        <v>10372.5</v>
      </c>
      <c r="AN35" s="136">
        <v>10509.9</v>
      </c>
      <c r="AO35" s="136">
        <v>10881.3</v>
      </c>
      <c r="AP35" s="136">
        <v>10704.8</v>
      </c>
      <c r="AQ35" s="136">
        <v>10567.4</v>
      </c>
      <c r="AR35" s="136">
        <v>8592.2999999999993</v>
      </c>
      <c r="AS35" s="136">
        <v>8636</v>
      </c>
      <c r="AT35" s="136">
        <v>8707.7999999999993</v>
      </c>
      <c r="AU35" s="136">
        <v>8581.2000000000007</v>
      </c>
      <c r="AV35" s="136">
        <v>8819</v>
      </c>
      <c r="AW35" s="136">
        <v>8692.4</v>
      </c>
      <c r="AX35" s="136">
        <v>11953</v>
      </c>
      <c r="AY35" s="136">
        <v>13251</v>
      </c>
      <c r="AZ35" s="136">
        <v>9785</v>
      </c>
      <c r="BA35" s="136">
        <v>11746</v>
      </c>
      <c r="BB35" s="136">
        <v>12188</v>
      </c>
      <c r="BC35" s="136">
        <v>10177</v>
      </c>
      <c r="BD35" s="136">
        <v>8450</v>
      </c>
      <c r="BE35" s="136">
        <v>11425</v>
      </c>
      <c r="BF35" s="136">
        <v>10979</v>
      </c>
      <c r="BG35" s="136">
        <v>11052</v>
      </c>
      <c r="BH35" s="136">
        <v>7513</v>
      </c>
      <c r="BI35" s="136">
        <v>4616</v>
      </c>
      <c r="BJ35" s="136">
        <v>8072</v>
      </c>
      <c r="BK35" s="136">
        <v>5967</v>
      </c>
      <c r="BL35" s="136">
        <v>7671</v>
      </c>
      <c r="BM35" s="136">
        <v>7589</v>
      </c>
      <c r="BN35" s="136">
        <v>7619</v>
      </c>
      <c r="BO35" s="136">
        <v>8011</v>
      </c>
      <c r="BP35" s="136">
        <v>7808</v>
      </c>
      <c r="BQ35" s="136">
        <v>5201</v>
      </c>
      <c r="BR35" s="136">
        <v>4484</v>
      </c>
      <c r="BS35" s="136">
        <v>0</v>
      </c>
      <c r="BT35" s="136">
        <v>2654</v>
      </c>
      <c r="BU35" s="136">
        <v>1070</v>
      </c>
      <c r="BV35" s="136"/>
      <c r="BW35" s="136"/>
      <c r="BX35" s="136"/>
      <c r="BY35" s="136"/>
      <c r="BZ35" s="136">
        <v>1323</v>
      </c>
      <c r="CA35" s="136">
        <v>1130</v>
      </c>
      <c r="CB35" s="136">
        <v>4716</v>
      </c>
      <c r="CC35" s="136">
        <v>8528</v>
      </c>
      <c r="CD35" s="59">
        <v>7.2595238333333336</v>
      </c>
      <c r="CE35" s="59"/>
      <c r="CF35" s="195">
        <v>7.3132474333333359</v>
      </c>
      <c r="CG35" s="195"/>
      <c r="CH35" s="195">
        <v>0.97667948333333265</v>
      </c>
      <c r="CI35" s="195"/>
      <c r="CJ35" s="59">
        <v>1.4423139333333357</v>
      </c>
      <c r="CK35" s="59"/>
      <c r="CL35" s="195">
        <v>34.416343750000024</v>
      </c>
      <c r="CM35" s="195"/>
      <c r="CN35" s="195">
        <v>47.668648437499989</v>
      </c>
      <c r="CO35" s="195"/>
      <c r="CP35" s="195">
        <v>24.353492187500024</v>
      </c>
      <c r="CQ35" s="195"/>
      <c r="CR35" s="59">
        <v>0</v>
      </c>
      <c r="CS35" s="59"/>
      <c r="CT35" s="195">
        <v>0.93262031249999977</v>
      </c>
      <c r="CU35" s="195"/>
      <c r="CV35" s="195">
        <v>2.835</v>
      </c>
      <c r="CW35" s="247"/>
      <c r="CX35" s="193">
        <f>IFERROR(AVERAGEIF(RD[[#This Row],[IS1POA1 (KWh/m2)]:[IS7POA2 (KWh/m2)]],"&lt;&gt;0",RD[[#This Row],[IS1POA1 (KWh/m2)]:[IS7POA2 (KWh/m2)]]),"")</f>
        <v>7.2595238333333336</v>
      </c>
      <c r="CY35" s="193">
        <f>IFERROR(AVERAGEIF(RD[[#This Row],[IS1GHI1 (KWh/m2)]:[IS7GHI2 (KWh/m2)]],"&lt;&gt;0",RD[[#This Row],[IS1GHI1 (KWh/m2)]:[IS7GHI2 (KWh/m2)]]),"")</f>
        <v>7.3132474333333359</v>
      </c>
      <c r="CZ35" s="193">
        <f>IFERROR(AVERAGEIF(RD[[#This Row],[IS1POA_BS1 (KWh/m2)]:[IS7POA_BS2 (KWh/m2)]],"&lt;&gt;0",RD[[#This Row],[IS1POA_BS1 (KWh/m2)]:[IS7POA_BS2 (KWh/m2)]]),"")</f>
        <v>0.97667948333333265</v>
      </c>
      <c r="DA35" s="193">
        <f>IFERROR(AVERAGEIF(RD[[#This Row],[IS1GHI_BS1 (KWh/m2)]:[IS1GHI_BS1 (KWh/m2)2]],"&lt;&gt;0",RD[[#This Row],[IS1GHI_BS1 (KWh/m2)]:[IS1GHI_BS1 (KWh/m2)2]]),"")</f>
        <v>1.4423139333333357</v>
      </c>
      <c r="DB35" s="193">
        <f>IFERROR(AVERAGEIF(RD[[#This Row],[IS1AT1 (°C)]:[IS7AT2 (°C)]],"&lt;&gt;0",RD[[#This Row],[IS1AT1 (°C)]:[IS7AT2 (°C)]]),"")</f>
        <v>34.416343750000024</v>
      </c>
      <c r="DC35" s="193">
        <f>IFERROR(AVERAGEIF(RD[[#This Row],[IS1MT1 (°C)]:[IS7MT2 (°C)]],"&lt;&gt;0",RD[[#This Row],[IS1MT1 (°C)]:[IS7MT2 (°C)]]),"")</f>
        <v>47.668648437499989</v>
      </c>
      <c r="DD35" s="193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193">
        <f>IFERROR(AVERAGEIF(RD[[#This Row],[WS_Solar1_Avg (m/s)]:[IS7_WS_Solar1_Avg (m/s)]],"&lt;&gt;0",RD[[#This Row],[WS_Solar1_Avg (m/s)]:[IS7_WS_Solar1_Avg (m/s)]]),"")</f>
        <v>0.93262031249999977</v>
      </c>
      <c r="DG35" s="193">
        <f>IFERROR(AVERAGEIF(RD[[#This Row],[WS_Solar1_Max (m/s)]:[IS7_WS_Solar1_Max (m/s)]],"&lt;&gt;0",RD[[#This Row],[WS_Solar1_Max (m/s)]:[IS7_WS_Solar1_Max (m/s)]]),"")</f>
        <v>2.835</v>
      </c>
      <c r="DH35" s="193">
        <f>SUM(RD[[#This Row],[IS1Inv1M1]:[IS4Inv4M2]])</f>
        <v>292180.80000000005</v>
      </c>
      <c r="DI35" s="194">
        <f>SUM(RD[[#This Row],[IS7Inv1M1]]+RD[[#This Row],[IS7Inv2M1]])</f>
        <v>17228.3</v>
      </c>
      <c r="DJ35" s="193">
        <f>SUM(RD[[#This Row],[IS5Inv1M1]:[IS5Inv2M2]])</f>
        <v>41710.199999999997</v>
      </c>
      <c r="DK35" s="193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75">
        <f>SUM(RD[[#This Row],[IS12Inv1M1]:[IS12Inv1M4]])</f>
        <v>28639</v>
      </c>
      <c r="DO35" s="275">
        <f>SUM(RD[[#This Row],[IS13Inv1M1]:[IS13Inv2M2]])</f>
        <v>8208</v>
      </c>
      <c r="DP35" s="193">
        <f>SUM(RD[[#This Row],[O2R15]:[O2R26]])</f>
        <v>633561.10000000009</v>
      </c>
      <c r="DQ35" s="158">
        <v>37938.199999999997</v>
      </c>
      <c r="DR35" s="162">
        <v>204.4</v>
      </c>
      <c r="DS35" s="158">
        <v>32648.9</v>
      </c>
      <c r="DT35" s="158">
        <v>216.7</v>
      </c>
      <c r="DU35" s="162">
        <v>37676.699999999997</v>
      </c>
      <c r="DV35" s="162">
        <v>390</v>
      </c>
      <c r="DW35" s="158">
        <v>5741.2</v>
      </c>
      <c r="DX35" s="162">
        <v>25.9</v>
      </c>
      <c r="DY35" s="162"/>
      <c r="DZ35" s="162"/>
      <c r="EA35" s="134">
        <v>89.78</v>
      </c>
      <c r="EB35" s="230">
        <v>117109415</v>
      </c>
      <c r="EC35" s="229">
        <v>892512.12800000003</v>
      </c>
      <c r="ED35" s="230">
        <v>1068</v>
      </c>
      <c r="EE35" s="230">
        <v>111443</v>
      </c>
      <c r="EF35" s="158">
        <v>162437.9</v>
      </c>
      <c r="EG35" s="158">
        <v>1758.1</v>
      </c>
      <c r="EH35" s="140">
        <f>IF((RD[[#This Row],[33 kV_F3_Ex
Incomer1]]-DQ34)*1000&lt;0,0,(RD[[#This Row],[33 kV_F3_Ex
Incomer1]]-DQ34)*1000)</f>
        <v>99000</v>
      </c>
      <c r="EI35" s="140">
        <f>IF((RD[[#This Row],[34 kV_F3_Im
Incomer1]]-DR34)*1000&lt;0,0,(RD[[#This Row],[34 kV_F3_Im
Incomer1]]-DR34)*1000)</f>
        <v>200.00000000001705</v>
      </c>
      <c r="EJ35" s="140">
        <f>IF((RD[[#This Row],[33 kV_F4_Ex
Incomer2]]-DS34)*1000&lt;0,0,(RD[[#This Row],[33 kV_F4_Ex
Incomer2]]-DS34)*1000)</f>
        <v>93000</v>
      </c>
      <c r="EK35" s="140">
        <f>IF((RD[[#This Row],[34 kV_F4_Im
Incomer2]]-DT34)*1000&lt;0,0,(RD[[#This Row],[34 kV_F4_Im
Incomer2]]-DT34)*1000)</f>
        <v>199.99999999998863</v>
      </c>
      <c r="EL35" s="140">
        <f>IF((RD[[#This Row],[33 kV_F5_Ex
Incomer3]]-DU34)*1000&lt;0,0,(RD[[#This Row],[33 kV_F5_Ex
Incomer3]]-DU34)*1000)</f>
        <v>121000</v>
      </c>
      <c r="EM35" s="140">
        <f>IF((RD[[#This Row],[34 kV_F5_Im
Incomer3]]-DV34)*1000&lt;0,0,(RD[[#This Row],[34 kV_F5_Im
Incomer3]]-DV34)*1000)</f>
        <v>300.00000000001137</v>
      </c>
      <c r="EN35" s="140">
        <f>IF((RD[[#This Row],[33 kV_F6_Ex
Incomer4]]-DW34)*1000&lt;0,0,(RD[[#This Row],[33 kV_F6_Ex
Incomer4]]-DW34)*1000)</f>
        <v>103800.00000000017</v>
      </c>
      <c r="EO35" s="140">
        <f>IF((RD[[#This Row],[33 kV_F6_Im
Incomer4]]-DX34)*1000&lt;0,0,(RD[[#This Row],[33 kV_F6_Im
Incomer4]]-DX34)*1000)</f>
        <v>500</v>
      </c>
      <c r="EP35" s="140">
        <f>IF((RD[[#This Row],[33 kV_F7_Ex
Incomer5]]-DY34)*1000&lt;0,0,(RD[[#This Row],[33 kV_F7_Ex
Incomer5]]-DY34)*1000)</f>
        <v>0</v>
      </c>
      <c r="EQ35" s="140">
        <f>IF((RD[[#This Row],[33 kV_F7_Im
Incomer5]]-DZ34)*1000&lt;0,0,(RD[[#This Row],[33 kV_F7_Im
Incomer5]]-DZ34)*1000)</f>
        <v>0</v>
      </c>
      <c r="ER35" s="140">
        <f>IF((RD[[#This Row],[33 kV_Aux Trafo]]-EA34)*1000&lt;0,0,(RD[[#This Row],[33 kV_Aux Trafo]]-EA34)*1000)</f>
        <v>170.00000000000171</v>
      </c>
      <c r="ES35" s="152">
        <f>IF((RD[[#This Row],[33kV_OG1_Ex_]]-EB34)*1&lt;0,0,(RD[[#This Row],[33kV_OG1_Ex_]]-EB34)*1)</f>
        <v>622166</v>
      </c>
      <c r="ET35" s="140">
        <f>IF((RD[[#This Row],[33kV_OG1_Im]]-EC34)*1&lt;0,0,(RD[[#This Row],[33kV_OG1_Im]]-EC34)*1)</f>
        <v>1737.7920000000158</v>
      </c>
      <c r="EU35" s="140">
        <f>IF((RD[[#This Row],[132kV_TX1_EX]]-ED34)*720&lt;=0,"",(RD[[#This Row],[132kV_TX1_EX]]-ED34)*720)</f>
        <v>1440</v>
      </c>
      <c r="EV35" s="140">
        <f>IF((RD[[#This Row],[132 kV_Tx1_Im]]-EE34)*720&lt;=0,0,(RD[[#This Row],[132 kV_Tx1_Im]]-EE34)*720)</f>
        <v>445680</v>
      </c>
      <c r="EW35" s="140">
        <f>IF((RD[[#This Row],[132kV_L1_Ex]]-EF34)*720&lt;=0,0,(RD[[#This Row],[132kV_L1_Ex]]-EF34)*720)</f>
        <v>620063.99999998743</v>
      </c>
      <c r="EX35" s="140">
        <f>IF((RD[[#This Row],[132kV_L1_Im]]-EG34)*720&lt;=0,0,(RD[[#This Row],[132kV_L1_Im]]-EG34)*720)</f>
        <v>2087.9999999999018</v>
      </c>
      <c r="EY35" s="231">
        <f>IFERROR(RD[[#This Row],[33kV_OG1_Ex (MWh)]]+RD[[#This Row],[33kV_OG1_Im (MWh)]],"")</f>
        <v>623903.79200000002</v>
      </c>
      <c r="EZ35" s="142">
        <f>RD[[#This Row],[33kV_OG1_Ex (MWh)]]-RD[[#This Row],[33kV_OG1_Im (MWh)]]</f>
        <v>620428.20799999998</v>
      </c>
      <c r="FA35" s="142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32">
        <f>IFERROR((RD[[#This Row],[Sunset Time (POA&lt;20 W/m2)]]-RD[[#This Row],[Sunrise Time (POA&gt;20 W/m2)]])*24,0)</f>
        <v>12.166666666666666</v>
      </c>
      <c r="FD35" s="233">
        <v>106</v>
      </c>
      <c r="FE35" t="s">
        <v>278</v>
      </c>
      <c r="FG35" s="138" t="str">
        <f>IFERROR(RD[[#This Row],[E_AC (WPR)]]/RD[[#This Row],[E_DC (WPR)]],"")</f>
        <v/>
      </c>
    </row>
    <row r="36" spans="1:163">
      <c r="A36" s="130">
        <f t="shared" si="157"/>
        <v>45776</v>
      </c>
      <c r="B36" s="132">
        <f>YEAR(RD[[#This Row],[Date]])+IF(MONTH(RD[[#This Row],[Date]])&gt;=4,1,0)</f>
        <v>2026</v>
      </c>
      <c r="C36" s="132">
        <f>YEAR(RD[[#This Row],[Date]])</f>
        <v>2025</v>
      </c>
      <c r="D36" s="133">
        <f t="shared" si="158"/>
        <v>45748</v>
      </c>
      <c r="E36" s="132">
        <f>DAY(EOMONTH(RD[[#This Row],[Date]],0))</f>
        <v>30</v>
      </c>
      <c r="F36" s="146">
        <v>0.25972222222222224</v>
      </c>
      <c r="G36" s="156">
        <v>0.7680555555555556</v>
      </c>
      <c r="H36" s="121">
        <v>9096.7999999999993</v>
      </c>
      <c r="I36" s="121">
        <v>9075.2999999999993</v>
      </c>
      <c r="J36" s="121">
        <v>8571.1</v>
      </c>
      <c r="K36" s="121">
        <v>8660.4</v>
      </c>
      <c r="L36" s="121">
        <v>8916.2000000000007</v>
      </c>
      <c r="M36" s="121">
        <v>9141.4</v>
      </c>
      <c r="N36" s="121">
        <v>8845.4</v>
      </c>
      <c r="O36" s="121">
        <v>9479.9</v>
      </c>
      <c r="P36" s="121">
        <v>8364.2000000000007</v>
      </c>
      <c r="Q36" s="121">
        <v>8255.9</v>
      </c>
      <c r="R36" s="121">
        <v>8519.7000000000007</v>
      </c>
      <c r="S36" s="121">
        <v>8511.7000000000007</v>
      </c>
      <c r="T36" s="121">
        <v>8778.2000000000007</v>
      </c>
      <c r="U36" s="121">
        <v>8507.7999999999993</v>
      </c>
      <c r="V36" s="121">
        <v>8658.7999999999993</v>
      </c>
      <c r="W36" s="121">
        <v>8488.2000000000007</v>
      </c>
      <c r="X36" s="192">
        <v>11883.9</v>
      </c>
      <c r="Y36" s="192">
        <v>12903.8</v>
      </c>
      <c r="Z36" s="192">
        <v>11392.9</v>
      </c>
      <c r="AA36" s="192">
        <v>11828.4</v>
      </c>
      <c r="AB36" s="192">
        <v>13538.8</v>
      </c>
      <c r="AC36" s="192">
        <v>8332.7000000000007</v>
      </c>
      <c r="AD36" s="192">
        <v>12677.1</v>
      </c>
      <c r="AE36" s="192">
        <v>12651.2</v>
      </c>
      <c r="AF36" s="192">
        <v>12603.2</v>
      </c>
      <c r="AG36" s="192">
        <v>12534</v>
      </c>
      <c r="AH36" s="192">
        <v>12618.1</v>
      </c>
      <c r="AI36" s="192">
        <v>12721</v>
      </c>
      <c r="AJ36" s="136">
        <v>10478.700000000001</v>
      </c>
      <c r="AK36" s="136">
        <v>10720.1</v>
      </c>
      <c r="AL36" s="136">
        <v>10447.299999999999</v>
      </c>
      <c r="AM36" s="136">
        <v>10462.200000000001</v>
      </c>
      <c r="AN36" s="136">
        <v>10534.9</v>
      </c>
      <c r="AO36" s="136">
        <v>10894.5</v>
      </c>
      <c r="AP36" s="136">
        <v>10701.3</v>
      </c>
      <c r="AQ36" s="136">
        <v>10592.2</v>
      </c>
      <c r="AR36" s="136">
        <v>8618.2000000000007</v>
      </c>
      <c r="AS36" s="136">
        <v>8692.9</v>
      </c>
      <c r="AT36" s="136">
        <v>8790.1</v>
      </c>
      <c r="AU36" s="136">
        <v>8696.7000000000007</v>
      </c>
      <c r="AV36" s="136">
        <v>8934.2999999999993</v>
      </c>
      <c r="AW36" s="136">
        <v>8774.7999999999993</v>
      </c>
      <c r="AX36" s="136">
        <v>12425</v>
      </c>
      <c r="AY36" s="136">
        <v>13277</v>
      </c>
      <c r="AZ36" s="136">
        <v>9780</v>
      </c>
      <c r="BA36" s="136">
        <v>11735</v>
      </c>
      <c r="BB36" s="136">
        <v>12190</v>
      </c>
      <c r="BC36" s="136">
        <v>10335</v>
      </c>
      <c r="BD36" s="136">
        <v>8464</v>
      </c>
      <c r="BE36" s="136">
        <v>11435</v>
      </c>
      <c r="BF36" s="136">
        <v>10985</v>
      </c>
      <c r="BG36" s="136">
        <v>11069</v>
      </c>
      <c r="BH36" s="136">
        <v>7519</v>
      </c>
      <c r="BI36" s="136">
        <v>4601</v>
      </c>
      <c r="BJ36" s="136">
        <v>8109</v>
      </c>
      <c r="BK36" s="136">
        <v>5857</v>
      </c>
      <c r="BL36" s="136">
        <v>7817</v>
      </c>
      <c r="BM36" s="136">
        <v>7160</v>
      </c>
      <c r="BN36" s="136"/>
      <c r="BO36" s="136"/>
      <c r="BP36" s="136"/>
      <c r="BQ36" s="136"/>
      <c r="BR36" s="136">
        <v>5172</v>
      </c>
      <c r="BS36" s="136">
        <v>0</v>
      </c>
      <c r="BT36" s="136">
        <v>2690</v>
      </c>
      <c r="BU36" s="136">
        <v>1259</v>
      </c>
      <c r="BV36" s="136"/>
      <c r="BW36" s="136"/>
      <c r="BX36" s="136"/>
      <c r="BY36" s="136"/>
      <c r="BZ36" s="136"/>
      <c r="CA36" s="136"/>
      <c r="CB36" s="136"/>
      <c r="CC36" s="136"/>
      <c r="CD36" s="59">
        <v>7.25</v>
      </c>
      <c r="CE36" s="59"/>
      <c r="CF36" s="195">
        <v>7.319</v>
      </c>
      <c r="CG36" s="195"/>
      <c r="CH36" s="195">
        <v>0.97299999999999998</v>
      </c>
      <c r="CI36" s="195"/>
      <c r="CJ36" s="59">
        <v>1.45</v>
      </c>
      <c r="CK36" s="59"/>
      <c r="CL36" s="195">
        <v>34.658999999999999</v>
      </c>
      <c r="CM36" s="195"/>
      <c r="CN36" s="195">
        <v>46.444000000000003</v>
      </c>
      <c r="CO36" s="195"/>
      <c r="CP36" s="195">
        <v>25.8</v>
      </c>
      <c r="CQ36" s="195"/>
      <c r="CR36" s="59">
        <v>0</v>
      </c>
      <c r="CS36" s="59"/>
      <c r="CT36" s="195">
        <v>1.127</v>
      </c>
      <c r="CU36" s="195"/>
      <c r="CV36" s="195">
        <v>3.234</v>
      </c>
      <c r="CW36" s="247"/>
      <c r="CX36" s="193">
        <f>IFERROR(AVERAGEIF(RD[[#This Row],[IS1POA1 (KWh/m2)]:[IS7POA2 (KWh/m2)]],"&lt;&gt;0",RD[[#This Row],[IS1POA1 (KWh/m2)]:[IS7POA2 (KWh/m2)]]),"")</f>
        <v>7.25</v>
      </c>
      <c r="CY36" s="193">
        <f>IFERROR(AVERAGEIF(RD[[#This Row],[IS1GHI1 (KWh/m2)]:[IS7GHI2 (KWh/m2)]],"&lt;&gt;0",RD[[#This Row],[IS1GHI1 (KWh/m2)]:[IS7GHI2 (KWh/m2)]]),"")</f>
        <v>7.319</v>
      </c>
      <c r="CZ36" s="193">
        <f>IFERROR(AVERAGEIF(RD[[#This Row],[IS1POA_BS1 (KWh/m2)]:[IS7POA_BS2 (KWh/m2)]],"&lt;&gt;0",RD[[#This Row],[IS1POA_BS1 (KWh/m2)]:[IS7POA_BS2 (KWh/m2)]]),"")</f>
        <v>0.97299999999999998</v>
      </c>
      <c r="DA36" s="193">
        <f>IFERROR(AVERAGEIF(RD[[#This Row],[IS1GHI_BS1 (KWh/m2)]:[IS1GHI_BS1 (KWh/m2)2]],"&lt;&gt;0",RD[[#This Row],[IS1GHI_BS1 (KWh/m2)]:[IS1GHI_BS1 (KWh/m2)2]]),"")</f>
        <v>1.45</v>
      </c>
      <c r="DB36" s="193">
        <f>IFERROR(AVERAGEIF(RD[[#This Row],[IS1AT1 (°C)]:[IS7AT2 (°C)]],"&lt;&gt;0",RD[[#This Row],[IS1AT1 (°C)]:[IS7AT2 (°C)]]),"")</f>
        <v>34.658999999999999</v>
      </c>
      <c r="DC36" s="193">
        <f>IFERROR(AVERAGEIF(RD[[#This Row],[IS1MT1 (°C)]:[IS7MT2 (°C)]],"&lt;&gt;0",RD[[#This Row],[IS1MT1 (°C)]:[IS7MT2 (°C)]]),"")</f>
        <v>46.444000000000003</v>
      </c>
      <c r="DD36" s="193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193">
        <f>IFERROR(AVERAGEIF(RD[[#This Row],[WS_Solar1_Avg (m/s)]:[IS7_WS_Solar1_Avg (m/s)]],"&lt;&gt;0",RD[[#This Row],[WS_Solar1_Avg (m/s)]:[IS7_WS_Solar1_Avg (m/s)]]),"")</f>
        <v>1.127</v>
      </c>
      <c r="DG36" s="193">
        <f>IFERROR(AVERAGEIF(RD[[#This Row],[WS_Solar1_Max (m/s)]:[IS7_WS_Solar1_Max (m/s)]],"&lt;&gt;0",RD[[#This Row],[WS_Solar1_Max (m/s)]:[IS7_WS_Solar1_Max (m/s)]]),"")</f>
        <v>3.234</v>
      </c>
      <c r="DH36" s="193">
        <f>SUM(RD[[#This Row],[IS1Inv1M1]:[IS4Inv4M2]])</f>
        <v>285556.09999999998</v>
      </c>
      <c r="DI36" s="194">
        <f>SUM(RD[[#This Row],[IS7Inv1M1]]+RD[[#This Row],[IS7Inv2M1]])</f>
        <v>17311.099999999999</v>
      </c>
      <c r="DJ36" s="193">
        <f>SUM(RD[[#This Row],[IS5Inv1M1]:[IS5Inv2M2]])</f>
        <v>42108.3</v>
      </c>
      <c r="DK36" s="193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75">
        <f>SUM(RD[[#This Row],[IS12Inv1M1]:[IS12Inv1M4]])</f>
        <v>0</v>
      </c>
      <c r="DO36" s="275">
        <f>SUM(RD[[#This Row],[IS13Inv1M1]:[IS13Inv2M2]])</f>
        <v>9121</v>
      </c>
      <c r="DP36" s="193">
        <f>SUM(RD[[#This Row],[O2R15]:[O2R26]])</f>
        <v>584773.29999999993</v>
      </c>
      <c r="DQ36" s="158">
        <v>38035.1</v>
      </c>
      <c r="DR36" s="162">
        <v>204.7</v>
      </c>
      <c r="DS36" s="158">
        <v>32739.9</v>
      </c>
      <c r="DT36" s="158">
        <v>217</v>
      </c>
      <c r="DU36" s="162">
        <v>37798.400000000001</v>
      </c>
      <c r="DV36" s="162">
        <v>390.5</v>
      </c>
      <c r="DW36" s="158">
        <v>5848.7</v>
      </c>
      <c r="DX36" s="162">
        <v>26.8</v>
      </c>
      <c r="DY36" s="162"/>
      <c r="DZ36" s="162"/>
      <c r="EA36" s="134">
        <v>90.04</v>
      </c>
      <c r="EB36" s="230">
        <v>117731704</v>
      </c>
      <c r="EC36" s="229">
        <v>895351.61600000004</v>
      </c>
      <c r="ED36" s="230">
        <v>1072</v>
      </c>
      <c r="EE36" s="230">
        <v>112063</v>
      </c>
      <c r="EF36" s="158">
        <v>163299.20000000001</v>
      </c>
      <c r="EG36" s="158">
        <v>1763.1</v>
      </c>
      <c r="EH36" s="140">
        <f>IF((RD[[#This Row],[33 kV_F3_Ex
Incomer1]]-DQ35)*1000&lt;0,0,(RD[[#This Row],[33 kV_F3_Ex
Incomer1]]-DQ35)*1000)</f>
        <v>96900.000000001455</v>
      </c>
      <c r="EI36" s="140">
        <f>IF((RD[[#This Row],[34 kV_F3_Im
Incomer1]]-DR35)*1000&lt;0,0,(RD[[#This Row],[34 kV_F3_Im
Incomer1]]-DR35)*1000)</f>
        <v>299.99999999998295</v>
      </c>
      <c r="EJ36" s="140">
        <f>IF((RD[[#This Row],[33 kV_F4_Ex
Incomer2]]-DS35)*1000&lt;0,0,(RD[[#This Row],[33 kV_F4_Ex
Incomer2]]-DS35)*1000)</f>
        <v>91000</v>
      </c>
      <c r="EK36" s="140">
        <f>IF((RD[[#This Row],[34 kV_F4_Im
Incomer2]]-DT35)*1000&lt;0,0,(RD[[#This Row],[34 kV_F4_Im
Incomer2]]-DT35)*1000)</f>
        <v>300.00000000001137</v>
      </c>
      <c r="EL36" s="140">
        <f>IF((RD[[#This Row],[33 kV_F5_Ex
Incomer3]]-DU35)*1000&lt;0,0,(RD[[#This Row],[33 kV_F5_Ex
Incomer3]]-DU35)*1000)</f>
        <v>121700.00000000437</v>
      </c>
      <c r="EM36" s="140">
        <f>IF((RD[[#This Row],[34 kV_F5_Im
Incomer3]]-DV35)*1000&lt;0,0,(RD[[#This Row],[34 kV_F5_Im
Incomer3]]-DV35)*1000)</f>
        <v>500</v>
      </c>
      <c r="EN36" s="140">
        <f>IF((RD[[#This Row],[33 kV_F6_Ex
Incomer4]]-DW35)*1000&lt;0,0,(RD[[#This Row],[33 kV_F6_Ex
Incomer4]]-DW35)*1000)</f>
        <v>107500</v>
      </c>
      <c r="EO36" s="140">
        <f>IF((RD[[#This Row],[33 kV_F6_Im
Incomer4]]-DX35)*1000&lt;0,0,(RD[[#This Row],[33 kV_F6_Im
Incomer4]]-DX35)*1000)</f>
        <v>900.00000000000216</v>
      </c>
      <c r="EP36" s="140">
        <f>IF((RD[[#This Row],[33 kV_F7_Ex
Incomer5]]-DY35)*1000&lt;0,0,(RD[[#This Row],[33 kV_F7_Ex
Incomer5]]-DY35)*1000)</f>
        <v>0</v>
      </c>
      <c r="EQ36" s="140">
        <f>IF((RD[[#This Row],[33 kV_F7_Im
Incomer5]]-DZ35)*1000&lt;0,0,(RD[[#This Row],[33 kV_F7_Im
Incomer5]]-DZ35)*1000)</f>
        <v>0</v>
      </c>
      <c r="ER36" s="140">
        <f>IF((RD[[#This Row],[33 kV_Aux Trafo]]-EA35)*1000&lt;0,0,(RD[[#This Row],[33 kV_Aux Trafo]]-EA35)*1000)</f>
        <v>260.00000000000512</v>
      </c>
      <c r="ES36" s="152">
        <f>IF((RD[[#This Row],[33kV_OG1_Ex_]]-EB35)*1&lt;0,0,(RD[[#This Row],[33kV_OG1_Ex_]]-EB35)*1)</f>
        <v>622289</v>
      </c>
      <c r="ET36" s="140">
        <f>IF((RD[[#This Row],[33kV_OG1_Im]]-EC35)*1&lt;0,0,(RD[[#This Row],[33kV_OG1_Im]]-EC35)*1)</f>
        <v>2839.4880000000121</v>
      </c>
      <c r="EU36" s="140">
        <f>IF((RD[[#This Row],[132kV_TX1_EX]]-ED35)*720&lt;=0,"",(RD[[#This Row],[132kV_TX1_EX]]-ED35)*720)</f>
        <v>2880</v>
      </c>
      <c r="EV36" s="140">
        <f>IF((RD[[#This Row],[132 kV_Tx1_Im]]-EE35)*720&lt;=0,0,(RD[[#This Row],[132 kV_Tx1_Im]]-EE35)*720)</f>
        <v>446400</v>
      </c>
      <c r="EW36" s="140">
        <f>IF((RD[[#This Row],[132kV_L1_Ex]]-EF35)*720&lt;=0,0,(RD[[#This Row],[132kV_L1_Ex]]-EF35)*720)</f>
        <v>620136.00000001257</v>
      </c>
      <c r="EX36" s="140">
        <f>IF((RD[[#This Row],[132kV_L1_Im]]-EG35)*720&lt;=0,0,(RD[[#This Row],[132kV_L1_Im]]-EG35)*720)</f>
        <v>3600</v>
      </c>
      <c r="EY36" s="231">
        <f>IFERROR(RD[[#This Row],[33kV_OG1_Ex (MWh)]]+RD[[#This Row],[33kV_OG1_Im (MWh)]],"")</f>
        <v>625128.48800000001</v>
      </c>
      <c r="EZ36" s="142">
        <f>RD[[#This Row],[33kV_OG1_Ex (MWh)]]-RD[[#This Row],[33kV_OG1_Im (MWh)]]</f>
        <v>619449.51199999999</v>
      </c>
      <c r="FA36" s="142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32">
        <f>IFERROR((RD[[#This Row],[Sunset Time (POA&lt;20 W/m2)]]-RD[[#This Row],[Sunrise Time (POA&gt;20 W/m2)]])*24,0)</f>
        <v>12.2</v>
      </c>
      <c r="FD36" s="233">
        <v>106</v>
      </c>
      <c r="FE36" t="s">
        <v>268</v>
      </c>
      <c r="FG36" s="138" t="str">
        <f>IFERROR(RD[[#This Row],[E_AC (WPR)]]/RD[[#This Row],[E_DC (WPR)]],"")</f>
        <v/>
      </c>
    </row>
    <row r="37" spans="1:163">
      <c r="A37" s="130">
        <f t="shared" si="157"/>
        <v>45777</v>
      </c>
      <c r="B37" s="132">
        <f>YEAR(RD[[#This Row],[Date]])+IF(MONTH(RD[[#This Row],[Date]])&gt;=4,1,0)</f>
        <v>2026</v>
      </c>
      <c r="C37" s="132">
        <f>YEAR(RD[[#This Row],[Date]])</f>
        <v>2025</v>
      </c>
      <c r="D37" s="133">
        <f t="shared" si="158"/>
        <v>45748</v>
      </c>
      <c r="E37" s="132">
        <f>DAY(EOMONTH(RD[[#This Row],[Date]],0))</f>
        <v>30</v>
      </c>
      <c r="F37" s="146">
        <v>0.2590277777777778</v>
      </c>
      <c r="G37" s="156">
        <v>0.77361111111111114</v>
      </c>
      <c r="H37" s="121">
        <v>8835.5</v>
      </c>
      <c r="I37" s="121">
        <v>8799.2000000000007</v>
      </c>
      <c r="J37" s="121">
        <v>8388.5</v>
      </c>
      <c r="K37" s="121">
        <v>8456.2999999999993</v>
      </c>
      <c r="L37" s="121">
        <v>8664.6</v>
      </c>
      <c r="M37" s="121">
        <v>8885.7999999999993</v>
      </c>
      <c r="N37" s="121">
        <v>8612.2999999999993</v>
      </c>
      <c r="O37" s="121">
        <v>9211.9</v>
      </c>
      <c r="P37" s="121">
        <v>8629.9</v>
      </c>
      <c r="Q37" s="121">
        <v>8532.6</v>
      </c>
      <c r="R37" s="121">
        <v>8769.2000000000007</v>
      </c>
      <c r="S37" s="121">
        <v>8765</v>
      </c>
      <c r="T37" s="121">
        <v>9043.9</v>
      </c>
      <c r="U37" s="121">
        <v>8794.2000000000007</v>
      </c>
      <c r="V37" s="121">
        <v>8957.7000000000007</v>
      </c>
      <c r="W37" s="121">
        <v>8786.6</v>
      </c>
      <c r="X37" s="192">
        <v>12381.3</v>
      </c>
      <c r="Y37" s="192">
        <v>13343.7</v>
      </c>
      <c r="Z37" s="192">
        <v>11890.1</v>
      </c>
      <c r="AA37" s="192">
        <v>12276.5</v>
      </c>
      <c r="AB37" s="192">
        <v>13273.8</v>
      </c>
      <c r="AC37" s="192">
        <v>8229.7000000000007</v>
      </c>
      <c r="AD37" s="192">
        <v>12495.8</v>
      </c>
      <c r="AE37" s="192">
        <v>12460.8</v>
      </c>
      <c r="AF37" s="192">
        <v>12428</v>
      </c>
      <c r="AG37" s="192">
        <v>12392</v>
      </c>
      <c r="AH37" s="192">
        <v>12459.7</v>
      </c>
      <c r="AI37" s="192">
        <v>12551.2</v>
      </c>
      <c r="AJ37" s="136">
        <v>9070.2000000000007</v>
      </c>
      <c r="AK37" s="136">
        <v>9304.1</v>
      </c>
      <c r="AL37" s="136">
        <v>9044.7000000000007</v>
      </c>
      <c r="AM37" s="136">
        <v>9066.7000000000007</v>
      </c>
      <c r="AN37" s="136">
        <v>10284.4</v>
      </c>
      <c r="AO37" s="136">
        <v>10640.1</v>
      </c>
      <c r="AP37" s="136">
        <v>10455.5</v>
      </c>
      <c r="AQ37" s="136">
        <v>10341</v>
      </c>
      <c r="AR37" s="136">
        <v>8407.1</v>
      </c>
      <c r="AS37" s="136">
        <v>8477</v>
      </c>
      <c r="AT37" s="136">
        <v>8562.7000000000007</v>
      </c>
      <c r="AU37" s="136">
        <v>8488</v>
      </c>
      <c r="AV37" s="136">
        <v>8671.6</v>
      </c>
      <c r="AW37" s="136">
        <v>8551.4</v>
      </c>
      <c r="AX37" s="136">
        <v>11663.5</v>
      </c>
      <c r="AY37" s="136">
        <v>13052</v>
      </c>
      <c r="AZ37" s="136">
        <v>9659.7000000000007</v>
      </c>
      <c r="BA37" s="136">
        <v>11527.1</v>
      </c>
      <c r="BB37" s="136">
        <v>12103.9</v>
      </c>
      <c r="BC37" s="136">
        <v>10113.5</v>
      </c>
      <c r="BD37" s="136">
        <v>8303.4</v>
      </c>
      <c r="BE37" s="136">
        <v>11370</v>
      </c>
      <c r="BF37" s="136">
        <v>10689</v>
      </c>
      <c r="BG37" s="136">
        <v>11087</v>
      </c>
      <c r="BH37" s="136">
        <v>7526.2</v>
      </c>
      <c r="BI37" s="136">
        <v>4627</v>
      </c>
      <c r="BJ37" s="136">
        <v>8173</v>
      </c>
      <c r="BK37" s="136">
        <v>6082</v>
      </c>
      <c r="BL37" s="136">
        <v>7704</v>
      </c>
      <c r="BM37" s="136">
        <v>7640</v>
      </c>
      <c r="BN37" s="136">
        <v>7685</v>
      </c>
      <c r="BO37" s="136">
        <v>8095</v>
      </c>
      <c r="BP37" s="136">
        <v>7857</v>
      </c>
      <c r="BQ37" s="136">
        <v>6302</v>
      </c>
      <c r="BR37" s="136">
        <v>5960</v>
      </c>
      <c r="BS37" s="136">
        <v>0</v>
      </c>
      <c r="BT37" s="136">
        <v>2650</v>
      </c>
      <c r="BU37" s="136">
        <v>1240</v>
      </c>
      <c r="BV37" s="136"/>
      <c r="BW37" s="136"/>
      <c r="BX37" s="136"/>
      <c r="BY37" s="136"/>
      <c r="BZ37" s="136">
        <v>1311</v>
      </c>
      <c r="CA37" s="136">
        <v>1119</v>
      </c>
      <c r="CB37" s="136">
        <v>4712</v>
      </c>
      <c r="CC37" s="136">
        <v>8521</v>
      </c>
      <c r="CD37" s="59">
        <v>7.1097299999999928</v>
      </c>
      <c r="CE37" s="59"/>
      <c r="CF37" s="195">
        <v>7.1730949499999959</v>
      </c>
      <c r="CG37" s="195"/>
      <c r="CH37" s="195">
        <v>0.95906664999999913</v>
      </c>
      <c r="CI37" s="195"/>
      <c r="CJ37" s="59">
        <v>1.4169633833333344</v>
      </c>
      <c r="CK37" s="59"/>
      <c r="CL37" s="195">
        <v>34.780388888888922</v>
      </c>
      <c r="CM37" s="195"/>
      <c r="CN37" s="195">
        <v>46.799704861111138</v>
      </c>
      <c r="CO37" s="195"/>
      <c r="CP37" s="195">
        <v>25.731874999999942</v>
      </c>
      <c r="CQ37" s="195"/>
      <c r="CR37" s="59">
        <v>0</v>
      </c>
      <c r="CS37" s="59"/>
      <c r="CT37" s="195">
        <v>1.3726166666666655</v>
      </c>
      <c r="CU37" s="195"/>
      <c r="CV37" s="195">
        <v>3.3029999999999999</v>
      </c>
      <c r="CW37" s="247"/>
      <c r="CX37" s="193">
        <f>IFERROR(AVERAGEIF(RD[[#This Row],[IS1POA1 (KWh/m2)]:[IS7POA2 (KWh/m2)]],"&lt;&gt;0",RD[[#This Row],[IS1POA1 (KWh/m2)]:[IS7POA2 (KWh/m2)]]),"")</f>
        <v>7.1097299999999928</v>
      </c>
      <c r="CY37" s="193">
        <f>IFERROR(AVERAGEIF(RD[[#This Row],[IS1GHI1 (KWh/m2)]:[IS7GHI2 (KWh/m2)]],"&lt;&gt;0",RD[[#This Row],[IS1GHI1 (KWh/m2)]:[IS7GHI2 (KWh/m2)]]),"")</f>
        <v>7.1730949499999959</v>
      </c>
      <c r="CZ37" s="193">
        <f>IFERROR(AVERAGEIF(RD[[#This Row],[IS1POA_BS1 (KWh/m2)]:[IS7POA_BS2 (KWh/m2)]],"&lt;&gt;0",RD[[#This Row],[IS1POA_BS1 (KWh/m2)]:[IS7POA_BS2 (KWh/m2)]]),"")</f>
        <v>0.95906664999999913</v>
      </c>
      <c r="DA37" s="193">
        <f>IFERROR(AVERAGEIF(RD[[#This Row],[IS1GHI_BS1 (KWh/m2)]:[IS1GHI_BS1 (KWh/m2)2]],"&lt;&gt;0",RD[[#This Row],[IS1GHI_BS1 (KWh/m2)]:[IS1GHI_BS1 (KWh/m2)2]]),"")</f>
        <v>1.4169633833333344</v>
      </c>
      <c r="DB37" s="193">
        <f>IFERROR(AVERAGEIF(RD[[#This Row],[IS1AT1 (°C)]:[IS7AT2 (°C)]],"&lt;&gt;0",RD[[#This Row],[IS1AT1 (°C)]:[IS7AT2 (°C)]]),"")</f>
        <v>34.780388888888922</v>
      </c>
      <c r="DC37" s="193">
        <f>IFERROR(AVERAGEIF(RD[[#This Row],[IS1MT1 (°C)]:[IS7MT2 (°C)]],"&lt;&gt;0",RD[[#This Row],[IS1MT1 (°C)]:[IS7MT2 (°C)]]),"")</f>
        <v>46.799704861111138</v>
      </c>
      <c r="DD37" s="193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193">
        <f>IFERROR(AVERAGEIF(RD[[#This Row],[WS_Solar1_Avg (m/s)]:[IS7_WS_Solar1_Avg (m/s)]],"&lt;&gt;0",RD[[#This Row],[WS_Solar1_Avg (m/s)]:[IS7_WS_Solar1_Avg (m/s)]]),"")</f>
        <v>1.3726166666666655</v>
      </c>
      <c r="DG37" s="193">
        <f>IFERROR(AVERAGEIF(RD[[#This Row],[WS_Solar1_Max (m/s)]:[IS7_WS_Solar1_Max (m/s)]],"&lt;&gt;0",RD[[#This Row],[WS_Solar1_Max (m/s)]:[IS7_WS_Solar1_Max (m/s)]]),"")</f>
        <v>3.3029999999999999</v>
      </c>
      <c r="DH37" s="193">
        <f>SUM(RD[[#This Row],[IS1Inv1M1]:[IS4Inv4M2]])</f>
        <v>286315.8</v>
      </c>
      <c r="DI37" s="194">
        <f>SUM(RD[[#This Row],[IS7Inv1M1]]+RD[[#This Row],[IS7Inv2M1]])</f>
        <v>16884.099999999999</v>
      </c>
      <c r="DJ37" s="193">
        <f>SUM(RD[[#This Row],[IS5Inv1M1]:[IS5Inv2M2]])</f>
        <v>36485.700000000004</v>
      </c>
      <c r="DK37" s="193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75">
        <f>SUM(RD[[#This Row],[IS12Inv1M1]:[IS12Inv1M4]])</f>
        <v>29939</v>
      </c>
      <c r="DO37" s="275">
        <f>SUM(RD[[#This Row],[IS13Inv1M1]:[IS13Inv2M2]])</f>
        <v>9850</v>
      </c>
      <c r="DP37" s="193">
        <f>SUM(RD[[#This Row],[O2R15]:[O2R26]])</f>
        <v>622453.6</v>
      </c>
      <c r="DQ37" s="158">
        <v>38180.1</v>
      </c>
      <c r="DR37" s="162">
        <v>205.2</v>
      </c>
      <c r="DS37" s="158">
        <v>32874.699999999997</v>
      </c>
      <c r="DT37" s="158">
        <v>217.4</v>
      </c>
      <c r="DU37" s="162">
        <v>37970.9</v>
      </c>
      <c r="DV37" s="162">
        <v>391</v>
      </c>
      <c r="DW37" s="158">
        <v>6009.1</v>
      </c>
      <c r="DX37" s="162">
        <v>27.9</v>
      </c>
      <c r="DY37" s="162"/>
      <c r="DZ37" s="162"/>
      <c r="EA37" s="134">
        <v>90.38</v>
      </c>
      <c r="EB37" s="230">
        <v>118345875</v>
      </c>
      <c r="EC37" s="229">
        <v>898020.60800000001</v>
      </c>
      <c r="ED37" s="230">
        <v>1075</v>
      </c>
      <c r="EE37" s="230">
        <v>112675</v>
      </c>
      <c r="EF37" s="158">
        <v>164149.29999999999</v>
      </c>
      <c r="EG37" s="158">
        <v>1767.7</v>
      </c>
      <c r="EH37" s="140">
        <f>IF((RD[[#This Row],[33 kV_F3_Ex
Incomer1]]-DQ36)*1000&lt;0,0,(RD[[#This Row],[33 kV_F3_Ex
Incomer1]]-DQ36)*1000)</f>
        <v>145000</v>
      </c>
      <c r="EI37" s="140">
        <f>IF((RD[[#This Row],[34 kV_F3_Im
Incomer1]]-DR36)*1000&lt;0,0,(RD[[#This Row],[34 kV_F3_Im
Incomer1]]-DR36)*1000)</f>
        <v>500</v>
      </c>
      <c r="EJ37" s="140">
        <f>IF((RD[[#This Row],[33 kV_F4_Ex
Incomer2]]-DS36)*1000&lt;0,0,(RD[[#This Row],[33 kV_F4_Ex
Incomer2]]-DS36)*1000)</f>
        <v>134799.99999999563</v>
      </c>
      <c r="EK37" s="140">
        <f>IF((RD[[#This Row],[34 kV_F4_Im
Incomer2]]-DT36)*1000&lt;0,0,(RD[[#This Row],[34 kV_F4_Im
Incomer2]]-DT36)*1000)</f>
        <v>400.00000000000568</v>
      </c>
      <c r="EL37" s="140">
        <f>IF((RD[[#This Row],[33 kV_F5_Ex
Incomer3]]-DU36)*1000&lt;0,0,(RD[[#This Row],[33 kV_F5_Ex
Incomer3]]-DU36)*1000)</f>
        <v>172500</v>
      </c>
      <c r="EM37" s="140">
        <f>IF((RD[[#This Row],[34 kV_F5_Im
Incomer3]]-DV36)*1000&lt;0,0,(RD[[#This Row],[34 kV_F5_Im
Incomer3]]-DV36)*1000)</f>
        <v>500</v>
      </c>
      <c r="EN37" s="140">
        <f>IF((RD[[#This Row],[33 kV_F6_Ex
Incomer4]]-DW36)*1000&lt;0,0,(RD[[#This Row],[33 kV_F6_Ex
Incomer4]]-DW36)*1000)</f>
        <v>160400.00000000055</v>
      </c>
      <c r="EO37" s="140">
        <f>IF((RD[[#This Row],[33 kV_F6_Im
Incomer4]]-DX36)*1000&lt;0,0,(RD[[#This Row],[33 kV_F6_Im
Incomer4]]-DX36)*1000)</f>
        <v>1099.999999999998</v>
      </c>
      <c r="EP37" s="140">
        <f>IF((RD[[#This Row],[33 kV_F7_Ex
Incomer5]]-DY36)*1000&lt;0,0,(RD[[#This Row],[33 kV_F7_Ex
Incomer5]]-DY36)*1000)</f>
        <v>0</v>
      </c>
      <c r="EQ37" s="140">
        <f>IF((RD[[#This Row],[33 kV_F7_Im
Incomer5]]-DZ36)*1000&lt;0,0,(RD[[#This Row],[33 kV_F7_Im
Incomer5]]-DZ36)*1000)</f>
        <v>0</v>
      </c>
      <c r="ER37" s="140">
        <f>IF((RD[[#This Row],[33 kV_Aux Trafo]]-EA36)*1000&lt;0,0,(RD[[#This Row],[33 kV_Aux Trafo]]-EA36)*1000)</f>
        <v>339.9999999999892</v>
      </c>
      <c r="ES37" s="152">
        <f>IF((RD[[#This Row],[33kV_OG1_Ex_]]-EB36)*1&lt;0,0,(RD[[#This Row],[33kV_OG1_Ex_]]-EB36)*1)</f>
        <v>614171</v>
      </c>
      <c r="ET37" s="140">
        <f>IF((RD[[#This Row],[33kV_OG1_Im]]-EC36)*1&lt;0,0,(RD[[#This Row],[33kV_OG1_Im]]-EC36)*1)</f>
        <v>2668.9919999999693</v>
      </c>
      <c r="EU37" s="140">
        <f>IF((RD[[#This Row],[132kV_TX1_EX]]-ED36)*720&lt;=0,"",(RD[[#This Row],[132kV_TX1_EX]]-ED36)*720)</f>
        <v>2160</v>
      </c>
      <c r="EV37" s="140">
        <f>IF((RD[[#This Row],[132 kV_Tx1_Im]]-EE36)*720&lt;=0,0,(RD[[#This Row],[132 kV_Tx1_Im]]-EE36)*720)</f>
        <v>440640</v>
      </c>
      <c r="EW37" s="140">
        <f>IF((RD[[#This Row],[132kV_L1_Ex]]-EF36)*720&lt;=0,0,(RD[[#This Row],[132kV_L1_Ex]]-EF36)*720)</f>
        <v>612071.99999998324</v>
      </c>
      <c r="EX37" s="140">
        <f>IF((RD[[#This Row],[132kV_L1_Im]]-EG36)*720&lt;=0,0,(RD[[#This Row],[132kV_L1_Im]]-EG36)*720)</f>
        <v>3312.0000000000982</v>
      </c>
      <c r="EY37" s="231">
        <f>IFERROR(RD[[#This Row],[33kV_OG1_Ex (MWh)]]+RD[[#This Row],[33kV_OG1_Im (MWh)]],"")</f>
        <v>616839.99199999997</v>
      </c>
      <c r="EZ37" s="142">
        <f>RD[[#This Row],[33kV_OG1_Ex (MWh)]]-RD[[#This Row],[33kV_OG1_Im (MWh)]]</f>
        <v>611502.00800000003</v>
      </c>
      <c r="FA37" s="142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32">
        <f>IFERROR((RD[[#This Row],[Sunset Time (POA&lt;20 W/m2)]]-RD[[#This Row],[Sunrise Time (POA&gt;20 W/m2)]])*24,0)</f>
        <v>12.350000000000001</v>
      </c>
      <c r="FD37" s="233">
        <v>106</v>
      </c>
      <c r="FE37" t="s">
        <v>268</v>
      </c>
      <c r="FG37" s="138" t="str">
        <f>IFERROR(RD[[#This Row],[E_AC (WPR)]]/RD[[#This Row],[E_DC (WPR)]],"")</f>
        <v/>
      </c>
    </row>
    <row r="38" spans="1:163">
      <c r="A38" s="130">
        <f t="shared" si="157"/>
        <v>45778</v>
      </c>
      <c r="B38" s="132">
        <f>YEAR(RD[[#This Row],[Date]])+IF(MONTH(RD[[#This Row],[Date]])&gt;=4,1,0)</f>
        <v>2026</v>
      </c>
      <c r="C38" s="132">
        <f>YEAR(RD[[#This Row],[Date]])</f>
        <v>2025</v>
      </c>
      <c r="D38" s="133">
        <f t="shared" si="158"/>
        <v>45778</v>
      </c>
      <c r="E38" s="132">
        <f>DAY(EOMONTH(RD[[#This Row],[Date]],0))</f>
        <v>31</v>
      </c>
      <c r="F38" s="146">
        <v>0.25972222222222224</v>
      </c>
      <c r="G38" s="156">
        <v>0.77013888888888893</v>
      </c>
      <c r="H38" s="121">
        <v>8791.2000000000007</v>
      </c>
      <c r="I38" s="121">
        <v>8750.1</v>
      </c>
      <c r="J38" s="121">
        <v>8252.9</v>
      </c>
      <c r="K38" s="121">
        <v>8346.7000000000007</v>
      </c>
      <c r="L38" s="121">
        <v>8587.2999999999993</v>
      </c>
      <c r="M38" s="121">
        <v>8831.7999999999993</v>
      </c>
      <c r="N38" s="121">
        <v>8523.7999999999993</v>
      </c>
      <c r="O38" s="121">
        <v>9187.6</v>
      </c>
      <c r="P38" s="121">
        <v>8571.4</v>
      </c>
      <c r="Q38" s="121">
        <v>8484.6</v>
      </c>
      <c r="R38" s="121">
        <v>8749.6</v>
      </c>
      <c r="S38" s="121">
        <v>8725.4</v>
      </c>
      <c r="T38" s="121">
        <v>8991.4</v>
      </c>
      <c r="U38" s="121">
        <v>8706.7999999999993</v>
      </c>
      <c r="V38" s="121">
        <v>8942.4</v>
      </c>
      <c r="W38" s="121">
        <v>8728.6</v>
      </c>
      <c r="X38" s="192">
        <v>12207.9</v>
      </c>
      <c r="Y38" s="192">
        <v>13295.8</v>
      </c>
      <c r="Z38" s="192">
        <v>11746</v>
      </c>
      <c r="AA38" s="192">
        <v>12207.7</v>
      </c>
      <c r="AB38" s="192">
        <v>13204.2</v>
      </c>
      <c r="AC38" s="192">
        <v>8072.8</v>
      </c>
      <c r="AD38" s="192">
        <v>12289.5</v>
      </c>
      <c r="AE38" s="192">
        <v>12239.9</v>
      </c>
      <c r="AF38" s="192">
        <v>12196.9</v>
      </c>
      <c r="AG38" s="192">
        <v>12146.9</v>
      </c>
      <c r="AH38" s="192">
        <v>12231.6</v>
      </c>
      <c r="AI38" s="192">
        <v>12333.9</v>
      </c>
      <c r="AJ38" s="136">
        <v>10145</v>
      </c>
      <c r="AK38" s="136">
        <v>10411.5</v>
      </c>
      <c r="AL38" s="136">
        <v>10122.299999999999</v>
      </c>
      <c r="AM38" s="136">
        <v>10169.6</v>
      </c>
      <c r="AN38" s="136">
        <v>10177.4</v>
      </c>
      <c r="AO38" s="136">
        <v>10539.1</v>
      </c>
      <c r="AP38" s="136">
        <v>10340.299999999999</v>
      </c>
      <c r="AQ38" s="136">
        <v>10236.799999999999</v>
      </c>
      <c r="AR38" s="136">
        <v>8335.2999999999993</v>
      </c>
      <c r="AS38" s="136">
        <v>8402.2000000000007</v>
      </c>
      <c r="AT38" s="136">
        <v>8483.4</v>
      </c>
      <c r="AU38" s="136">
        <v>8412.5</v>
      </c>
      <c r="AV38" s="136">
        <v>8648</v>
      </c>
      <c r="AW38" s="136">
        <v>8496.5</v>
      </c>
      <c r="AX38" s="136">
        <v>11551.7</v>
      </c>
      <c r="AY38" s="136">
        <v>13067.4</v>
      </c>
      <c r="AZ38" s="136">
        <v>9559.5</v>
      </c>
      <c r="BA38" s="136">
        <v>11438.3</v>
      </c>
      <c r="BB38" s="136">
        <v>11783.5</v>
      </c>
      <c r="BC38" s="136">
        <v>9850.1</v>
      </c>
      <c r="BD38" s="136">
        <v>8095.2</v>
      </c>
      <c r="BE38" s="136">
        <v>11067.7</v>
      </c>
      <c r="BF38" s="136">
        <v>10767</v>
      </c>
      <c r="BG38" s="136">
        <v>11072</v>
      </c>
      <c r="BH38" s="136">
        <v>7309.9</v>
      </c>
      <c r="BI38" s="136">
        <v>4497.2</v>
      </c>
      <c r="BJ38" s="136">
        <v>7935.2</v>
      </c>
      <c r="BK38" s="136">
        <v>5894.5</v>
      </c>
      <c r="BL38" s="136">
        <v>7435</v>
      </c>
      <c r="BM38" s="136">
        <v>7400.8</v>
      </c>
      <c r="BN38" s="136">
        <v>7392.7</v>
      </c>
      <c r="BO38" s="136">
        <v>7848</v>
      </c>
      <c r="BP38" s="136">
        <v>7532.2</v>
      </c>
      <c r="BQ38" s="136">
        <v>6042.4</v>
      </c>
      <c r="BR38" s="136">
        <v>6009.8</v>
      </c>
      <c r="BS38" s="136">
        <v>0</v>
      </c>
      <c r="BT38" s="136">
        <v>2584.1</v>
      </c>
      <c r="BU38" s="136">
        <v>1205.4000000000001</v>
      </c>
      <c r="BV38" s="136"/>
      <c r="BW38" s="136"/>
      <c r="BX38" s="136"/>
      <c r="BY38" s="136"/>
      <c r="BZ38" s="136">
        <v>1273.8</v>
      </c>
      <c r="CA38" s="136">
        <v>1086</v>
      </c>
      <c r="CB38" s="136">
        <v>4590.8</v>
      </c>
      <c r="CC38" s="136">
        <v>8331.2999999999993</v>
      </c>
      <c r="CD38" s="59">
        <v>6.994897416666662</v>
      </c>
      <c r="CE38" s="59">
        <v>6.5940000000000003</v>
      </c>
      <c r="CF38" s="195">
        <v>7.0734290500000041</v>
      </c>
      <c r="CG38" s="195">
        <v>6.4720000000000004</v>
      </c>
      <c r="CH38" s="195">
        <v>0.96663731666666664</v>
      </c>
      <c r="CI38" s="195">
        <v>1.1379999999999999</v>
      </c>
      <c r="CJ38" s="59">
        <v>1.4080297000000026</v>
      </c>
      <c r="CK38" s="59">
        <v>1.236</v>
      </c>
      <c r="CL38" s="195">
        <v>34.279041309431015</v>
      </c>
      <c r="CM38" s="195">
        <v>34.417000000000002</v>
      </c>
      <c r="CN38" s="195">
        <v>47.072208106001497</v>
      </c>
      <c r="CO38" s="195">
        <v>44.051000000000002</v>
      </c>
      <c r="CP38" s="195">
        <v>24.857840997661746</v>
      </c>
      <c r="CQ38" s="195">
        <v>24.923999999999999</v>
      </c>
      <c r="CR38" s="59">
        <v>0</v>
      </c>
      <c r="CS38" s="59">
        <v>0</v>
      </c>
      <c r="CT38" s="195">
        <v>0.99899064692127781</v>
      </c>
      <c r="CU38" s="195">
        <v>1.103</v>
      </c>
      <c r="CV38" s="195">
        <v>3.0870000000000002</v>
      </c>
      <c r="CW38" s="247">
        <v>3.0510000000000002</v>
      </c>
      <c r="CX38" s="193">
        <f>IFERROR(AVERAGEIF(RD[[#This Row],[IS1POA1 (KWh/m2)]:[IS7POA2 (KWh/m2)]],"&lt;&gt;0",RD[[#This Row],[IS1POA1 (KWh/m2)]:[IS7POA2 (KWh/m2)]]),"")</f>
        <v>6.7944487083333307</v>
      </c>
      <c r="CY38" s="193">
        <f>IFERROR(AVERAGEIF(RD[[#This Row],[IS1GHI1 (KWh/m2)]:[IS7GHI2 (KWh/m2)]],"&lt;&gt;0",RD[[#This Row],[IS1GHI1 (KWh/m2)]:[IS7GHI2 (KWh/m2)]]),"")</f>
        <v>6.7727145250000023</v>
      </c>
      <c r="CZ38" s="193">
        <f>IFERROR(AVERAGEIF(RD[[#This Row],[IS1POA_BS1 (KWh/m2)]:[IS7POA_BS2 (KWh/m2)]],"&lt;&gt;0",RD[[#This Row],[IS1POA_BS1 (KWh/m2)]:[IS7POA_BS2 (KWh/m2)]]),"")</f>
        <v>1.0523186583333333</v>
      </c>
      <c r="DA38" s="193">
        <f>IFERROR(AVERAGEIF(RD[[#This Row],[IS1GHI_BS1 (KWh/m2)]:[IS1GHI_BS1 (KWh/m2)2]],"&lt;&gt;0",RD[[#This Row],[IS1GHI_BS1 (KWh/m2)]:[IS1GHI_BS1 (KWh/m2)2]]),"")</f>
        <v>1.3220148500000013</v>
      </c>
      <c r="DB38" s="193">
        <f>IFERROR(AVERAGEIF(RD[[#This Row],[IS1AT1 (°C)]:[IS7AT2 (°C)]],"&lt;&gt;0",RD[[#This Row],[IS1AT1 (°C)]:[IS7AT2 (°C)]]),"")</f>
        <v>34.348020654715512</v>
      </c>
      <c r="DC38" s="193">
        <f>IFERROR(AVERAGEIF(RD[[#This Row],[IS1MT1 (°C)]:[IS7MT2 (°C)]],"&lt;&gt;0",RD[[#This Row],[IS1MT1 (°C)]:[IS7MT2 (°C)]]),"")</f>
        <v>45.56160405300075</v>
      </c>
      <c r="DD38" s="193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193">
        <f>IFERROR(AVERAGEIF(RD[[#This Row],[WS_Solar1_Avg (m/s)]:[IS7_WS_Solar1_Avg (m/s)]],"&lt;&gt;0",RD[[#This Row],[WS_Solar1_Avg (m/s)]:[IS7_WS_Solar1_Avg (m/s)]]),"")</f>
        <v>1.0509953234606388</v>
      </c>
      <c r="DG38" s="193">
        <f>IFERROR(AVERAGEIF(RD[[#This Row],[WS_Solar1_Max (m/s)]:[IS7_WS_Solar1_Max (m/s)]],"&lt;&gt;0",RD[[#This Row],[WS_Solar1_Max (m/s)]:[IS7_WS_Solar1_Max (m/s)]]),"")</f>
        <v>3.069</v>
      </c>
      <c r="DH38" s="193">
        <f>SUM(RD[[#This Row],[IS1Inv1M1]:[IS4Inv4M2]])</f>
        <v>283344.7</v>
      </c>
      <c r="DI38" s="194">
        <f>SUM(RD[[#This Row],[IS7Inv1M1]]+RD[[#This Row],[IS7Inv2M1]])</f>
        <v>16737.5</v>
      </c>
      <c r="DJ38" s="193">
        <f>SUM(RD[[#This Row],[IS5Inv1M1]:[IS5Inv2M2]])</f>
        <v>40848.400000000001</v>
      </c>
      <c r="DK38" s="193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75">
        <f>SUM(RD[[#This Row],[IS12Inv1M1]:[IS12Inv1M4]])</f>
        <v>28815.300000000003</v>
      </c>
      <c r="DO38" s="275">
        <f>SUM(RD[[#This Row],[IS13Inv1M1]:[IS13Inv2M2]])</f>
        <v>9799.2999999999993</v>
      </c>
      <c r="DP38" s="193">
        <f>SUM(RD[[#This Row],[O2R15]:[O2R26]])</f>
        <v>618886.10000000009</v>
      </c>
      <c r="DQ38" s="158">
        <v>38323.199999999997</v>
      </c>
      <c r="DR38" s="162">
        <v>205.3</v>
      </c>
      <c r="DS38" s="158">
        <v>33009.699999999997</v>
      </c>
      <c r="DT38" s="158">
        <v>217.6</v>
      </c>
      <c r="DU38" s="162">
        <v>38146.699999999997</v>
      </c>
      <c r="DV38" s="162">
        <v>391.2</v>
      </c>
      <c r="DW38" s="158">
        <v>6165.1</v>
      </c>
      <c r="DX38" s="162">
        <v>28.1</v>
      </c>
      <c r="DY38" s="162"/>
      <c r="DZ38" s="162"/>
      <c r="EA38" s="134">
        <v>90.59</v>
      </c>
      <c r="EB38" s="230">
        <v>118956154</v>
      </c>
      <c r="EC38" s="229">
        <v>898801.66</v>
      </c>
      <c r="ED38" s="230">
        <v>1076</v>
      </c>
      <c r="EE38" s="230">
        <v>113283</v>
      </c>
      <c r="EF38" s="158">
        <v>164994.1</v>
      </c>
      <c r="EG38" s="158">
        <v>1769</v>
      </c>
      <c r="EH38" s="140">
        <f>IF((RD[[#This Row],[33 kV_F3_Ex
Incomer1]]-DQ37)*1000&lt;0,0,(RD[[#This Row],[33 kV_F3_Ex
Incomer1]]-DQ37)*1000)</f>
        <v>143099.99999999854</v>
      </c>
      <c r="EI38" s="140">
        <f>IF((RD[[#This Row],[34 kV_F3_Im
Incomer1]]-DR37)*1000&lt;0,0,(RD[[#This Row],[34 kV_F3_Im
Incomer1]]-DR37)*1000)</f>
        <v>100.00000000002274</v>
      </c>
      <c r="EJ38" s="140">
        <f>IF((RD[[#This Row],[33 kV_F4_Ex
Incomer2]]-DS37)*1000&lt;0,0,(RD[[#This Row],[33 kV_F4_Ex
Incomer2]]-DS37)*1000)</f>
        <v>135000</v>
      </c>
      <c r="EK38" s="140">
        <f>IF((RD[[#This Row],[34 kV_F4_Im
Incomer2]]-DT37)*1000&lt;0,0,(RD[[#This Row],[34 kV_F4_Im
Incomer2]]-DT37)*1000)</f>
        <v>199.99999999998863</v>
      </c>
      <c r="EL38" s="140">
        <f>IF((RD[[#This Row],[33 kV_F5_Ex
Incomer3]]-DU37)*1000&lt;0,0,(RD[[#This Row],[33 kV_F5_Ex
Incomer3]]-DU37)*1000)</f>
        <v>175799.99999999563</v>
      </c>
      <c r="EM38" s="140">
        <f>IF((RD[[#This Row],[34 kV_F5_Im
Incomer3]]-DV37)*1000&lt;0,0,(RD[[#This Row],[34 kV_F5_Im
Incomer3]]-DV37)*1000)</f>
        <v>199.99999999998863</v>
      </c>
      <c r="EN38" s="140">
        <f>IF((RD[[#This Row],[33 kV_F6_Ex
Incomer4]]-DW37)*1000&lt;0,0,(RD[[#This Row],[33 kV_F6_Ex
Incomer4]]-DW37)*1000)</f>
        <v>156000</v>
      </c>
      <c r="EO38" s="140">
        <f>IF((RD[[#This Row],[33 kV_F6_Im
Incomer4]]-DX37)*1000&lt;0,0,(RD[[#This Row],[33 kV_F6_Im
Incomer4]]-DX37)*1000)</f>
        <v>200.00000000000284</v>
      </c>
      <c r="EP38" s="140">
        <f>IF((RD[[#This Row],[33 kV_F7_Ex
Incomer5]]-DY37)*1000&lt;0,0,(RD[[#This Row],[33 kV_F7_Ex
Incomer5]]-DY37)*1000)</f>
        <v>0</v>
      </c>
      <c r="EQ38" s="140">
        <f>IF((RD[[#This Row],[33 kV_F7_Im
Incomer5]]-DZ37)*1000&lt;0,0,(RD[[#This Row],[33 kV_F7_Im
Incomer5]]-DZ37)*1000)</f>
        <v>0</v>
      </c>
      <c r="ER38" s="140">
        <f>IF((RD[[#This Row],[33 kV_Aux Trafo]]-EA37)*1000&lt;0,0,(RD[[#This Row],[33 kV_Aux Trafo]]-EA37)*1000)</f>
        <v>210.00000000000796</v>
      </c>
      <c r="ES38" s="152">
        <f>IF((RD[[#This Row],[33kV_OG1_Ex_]]-EB37)*1&lt;0,0,(RD[[#This Row],[33kV_OG1_Ex_]]-EB37)*1)</f>
        <v>610279</v>
      </c>
      <c r="ET38" s="140">
        <f>IF((RD[[#This Row],[33kV_OG1_Im]]-EC37)*1&lt;0,0,(RD[[#This Row],[33kV_OG1_Im]]-EC37)*1)</f>
        <v>781.05200000002515</v>
      </c>
      <c r="EU38" s="140">
        <f>IF((RD[[#This Row],[132kV_TX1_EX]]-ED37)*720&lt;=0,"",(RD[[#This Row],[132kV_TX1_EX]]-ED37)*720)</f>
        <v>720</v>
      </c>
      <c r="EV38" s="140">
        <f>IF((RD[[#This Row],[132 kV_Tx1_Im]]-EE37)*720&lt;=0,0,(RD[[#This Row],[132 kV_Tx1_Im]]-EE37)*720)</f>
        <v>437760</v>
      </c>
      <c r="EW38" s="140">
        <f>IF((RD[[#This Row],[132kV_L1_Ex]]-EF37)*720&lt;=0,0,(RD[[#This Row],[132kV_L1_Ex]]-EF37)*720)</f>
        <v>608256.00000001257</v>
      </c>
      <c r="EX38" s="140">
        <f>IF((RD[[#This Row],[132kV_L1_Im]]-EG37)*720&lt;=0,0,(RD[[#This Row],[132kV_L1_Im]]-EG37)*720)</f>
        <v>935.99999999996726</v>
      </c>
      <c r="EY38" s="231">
        <f>IFERROR(RD[[#This Row],[33kV_OG1_Ex (MWh)]]+RD[[#This Row],[33kV_OG1_Im (MWh)]],"")</f>
        <v>611060.05200000003</v>
      </c>
      <c r="EZ38" s="142">
        <f>RD[[#This Row],[33kV_OG1_Ex (MWh)]]-RD[[#This Row],[33kV_OG1_Im (MWh)]]</f>
        <v>609497.94799999997</v>
      </c>
      <c r="FA38" s="142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32">
        <f>IFERROR((RD[[#This Row],[Sunset Time (POA&lt;20 W/m2)]]-RD[[#This Row],[Sunrise Time (POA&gt;20 W/m2)]])*24,0)</f>
        <v>12.250000000000002</v>
      </c>
      <c r="FD38" s="233">
        <v>106</v>
      </c>
      <c r="FE38" t="s">
        <v>268</v>
      </c>
      <c r="FG38" s="138" t="str">
        <f>IFERROR(RD[[#This Row],[E_AC (WPR)]]/RD[[#This Row],[E_DC (WPR)]],"")</f>
        <v/>
      </c>
    </row>
    <row r="39" spans="1:163">
      <c r="A39" s="130">
        <f t="shared" si="157"/>
        <v>45779</v>
      </c>
      <c r="B39" s="132">
        <f>YEAR(RD[[#This Row],[Date]])+IF(MONTH(RD[[#This Row],[Date]])&gt;=4,1,0)</f>
        <v>2026</v>
      </c>
      <c r="C39" s="132">
        <f>YEAR(RD[[#This Row],[Date]])</f>
        <v>2025</v>
      </c>
      <c r="D39" s="133">
        <f t="shared" si="158"/>
        <v>45778</v>
      </c>
      <c r="E39" s="132">
        <f>DAY(EOMONTH(RD[[#This Row],[Date]],0))</f>
        <v>31</v>
      </c>
      <c r="F39" s="146">
        <v>0.25972222222222224</v>
      </c>
      <c r="G39" s="156">
        <v>0.76458333333333328</v>
      </c>
      <c r="H39" s="121">
        <v>8440.5</v>
      </c>
      <c r="I39" s="121">
        <v>8429.9</v>
      </c>
      <c r="J39" s="121">
        <v>8032.9</v>
      </c>
      <c r="K39" s="121">
        <v>8090.2</v>
      </c>
      <c r="L39" s="121">
        <v>8297.1</v>
      </c>
      <c r="M39" s="121">
        <v>8510.5</v>
      </c>
      <c r="N39" s="121">
        <v>8296.9</v>
      </c>
      <c r="O39" s="121">
        <v>8828.4</v>
      </c>
      <c r="P39" s="121">
        <v>8227.5</v>
      </c>
      <c r="Q39" s="121">
        <v>8228.5</v>
      </c>
      <c r="R39" s="121">
        <v>8512</v>
      </c>
      <c r="S39" s="121">
        <v>8439.2999999999993</v>
      </c>
      <c r="T39" s="121">
        <v>8640.6</v>
      </c>
      <c r="U39" s="121">
        <v>8467</v>
      </c>
      <c r="V39" s="121">
        <v>8635.2000000000007</v>
      </c>
      <c r="W39" s="121">
        <v>8443</v>
      </c>
      <c r="X39" s="192">
        <v>11989.6</v>
      </c>
      <c r="Y39" s="192">
        <v>12916.3</v>
      </c>
      <c r="Z39" s="192">
        <v>11504.6</v>
      </c>
      <c r="AA39" s="192">
        <v>11939.7</v>
      </c>
      <c r="AB39" s="192">
        <v>12876.4</v>
      </c>
      <c r="AC39" s="192">
        <v>8040.9</v>
      </c>
      <c r="AD39" s="192">
        <v>12101.2</v>
      </c>
      <c r="AE39" s="192">
        <v>12059.2</v>
      </c>
      <c r="AF39" s="192">
        <v>12001.7</v>
      </c>
      <c r="AG39" s="192">
        <v>11971.6</v>
      </c>
      <c r="AH39" s="192">
        <v>12028.1</v>
      </c>
      <c r="AI39" s="192">
        <v>12101</v>
      </c>
      <c r="AJ39" s="136">
        <v>9989.2999999999993</v>
      </c>
      <c r="AK39" s="136">
        <v>10214.9</v>
      </c>
      <c r="AL39" s="136">
        <v>9918</v>
      </c>
      <c r="AM39" s="136">
        <v>10012.200000000001</v>
      </c>
      <c r="AN39" s="136">
        <v>9922.6</v>
      </c>
      <c r="AO39" s="136">
        <v>10249.200000000001</v>
      </c>
      <c r="AP39" s="136">
        <v>10086.5</v>
      </c>
      <c r="AQ39" s="136">
        <v>9964.2999999999993</v>
      </c>
      <c r="AR39" s="136">
        <v>8058.3</v>
      </c>
      <c r="AS39" s="136">
        <v>8132.7</v>
      </c>
      <c r="AT39" s="136">
        <v>8209.2000000000007</v>
      </c>
      <c r="AU39" s="136">
        <v>8174.1</v>
      </c>
      <c r="AV39" s="136">
        <v>8335.2000000000007</v>
      </c>
      <c r="AW39" s="136">
        <v>8208.2000000000007</v>
      </c>
      <c r="AX39" s="136">
        <v>11368.8</v>
      </c>
      <c r="AY39" s="136">
        <v>12731.5</v>
      </c>
      <c r="AZ39" s="136">
        <v>9297.9</v>
      </c>
      <c r="BA39" s="136">
        <v>11102.9</v>
      </c>
      <c r="BB39" s="136">
        <v>11279.9</v>
      </c>
      <c r="BC39" s="136">
        <v>9405.5</v>
      </c>
      <c r="BD39" s="136">
        <v>7761.8</v>
      </c>
      <c r="BE39" s="136">
        <v>10624</v>
      </c>
      <c r="BF39" s="136">
        <v>10656</v>
      </c>
      <c r="BG39" s="136">
        <v>11054</v>
      </c>
      <c r="BH39" s="136">
        <v>6976.2</v>
      </c>
      <c r="BI39" s="136">
        <v>4397.3</v>
      </c>
      <c r="BJ39" s="136">
        <v>7600.7</v>
      </c>
      <c r="BK39" s="136">
        <v>5683.8</v>
      </c>
      <c r="BL39" s="136">
        <v>7137</v>
      </c>
      <c r="BM39" s="136">
        <v>7096</v>
      </c>
      <c r="BN39" s="136">
        <v>7080.2</v>
      </c>
      <c r="BO39" s="136">
        <v>7497.9</v>
      </c>
      <c r="BP39" s="136">
        <v>7229.7</v>
      </c>
      <c r="BQ39" s="136">
        <v>5831.3</v>
      </c>
      <c r="BR39" s="136">
        <v>5742.8</v>
      </c>
      <c r="BS39" s="136">
        <v>0</v>
      </c>
      <c r="BT39" s="136">
        <v>2476.9</v>
      </c>
      <c r="BU39" s="136">
        <v>1155.2</v>
      </c>
      <c r="BV39" s="136"/>
      <c r="BW39" s="136"/>
      <c r="BX39" s="136"/>
      <c r="BY39" s="136"/>
      <c r="BZ39" s="136">
        <v>1212.9000000000001</v>
      </c>
      <c r="CA39" s="136">
        <v>1032.7</v>
      </c>
      <c r="CB39" s="136">
        <v>4373.8</v>
      </c>
      <c r="CC39" s="136">
        <v>7967.3</v>
      </c>
      <c r="CD39" s="59">
        <v>6.8395193999999941</v>
      </c>
      <c r="CE39" s="59">
        <v>6.3734125333333305</v>
      </c>
      <c r="CF39" s="195">
        <v>6.844666333333338</v>
      </c>
      <c r="CG39" s="195">
        <v>6.2487811500000019</v>
      </c>
      <c r="CH39" s="195">
        <v>0.98367576666666645</v>
      </c>
      <c r="CI39" s="195">
        <v>1.0726770833333334</v>
      </c>
      <c r="CJ39" s="59">
        <v>1.3549220999999994</v>
      </c>
      <c r="CK39" s="59">
        <v>1.1838870666666668</v>
      </c>
      <c r="CL39" s="195">
        <v>35.045701168614279</v>
      </c>
      <c r="CM39" s="195">
        <v>35.006980079681334</v>
      </c>
      <c r="CN39" s="195">
        <v>48.127869782971636</v>
      </c>
      <c r="CO39" s="195">
        <v>45.536712350597625</v>
      </c>
      <c r="CP39" s="195">
        <v>21.831010016694488</v>
      </c>
      <c r="CQ39" s="195">
        <v>23.344908366533858</v>
      </c>
      <c r="CR39" s="59">
        <v>0</v>
      </c>
      <c r="CS39" s="59">
        <v>0</v>
      </c>
      <c r="CT39" s="195">
        <v>1.2089899833055107</v>
      </c>
      <c r="CU39" s="195">
        <v>1.2594956175298808</v>
      </c>
      <c r="CV39" s="195">
        <v>3.093</v>
      </c>
      <c r="CW39" s="247">
        <v>3.609</v>
      </c>
      <c r="CX39" s="193">
        <f>IFERROR(AVERAGEIF(RD[[#This Row],[IS1POA1 (KWh/m2)]:[IS7POA2 (KWh/m2)]],"&lt;&gt;0",RD[[#This Row],[IS1POA1 (KWh/m2)]:[IS7POA2 (KWh/m2)]]),"")</f>
        <v>6.6064659666666623</v>
      </c>
      <c r="CY39" s="193">
        <f>IFERROR(AVERAGEIF(RD[[#This Row],[IS1GHI1 (KWh/m2)]:[IS7GHI2 (KWh/m2)]],"&lt;&gt;0",RD[[#This Row],[IS1GHI1 (KWh/m2)]:[IS7GHI2 (KWh/m2)]]),"")</f>
        <v>6.5467237416666695</v>
      </c>
      <c r="CZ39" s="193">
        <f>IFERROR(AVERAGEIF(RD[[#This Row],[IS1POA_BS1 (KWh/m2)]:[IS7POA_BS2 (KWh/m2)]],"&lt;&gt;0",RD[[#This Row],[IS1POA_BS1 (KWh/m2)]:[IS7POA_BS2 (KWh/m2)]]),"")</f>
        <v>1.0281764249999998</v>
      </c>
      <c r="DA39" s="193">
        <f>IFERROR(AVERAGEIF(RD[[#This Row],[IS1GHI_BS1 (KWh/m2)]:[IS1GHI_BS1 (KWh/m2)2]],"&lt;&gt;0",RD[[#This Row],[IS1GHI_BS1 (KWh/m2)]:[IS1GHI_BS1 (KWh/m2)2]]),"")</f>
        <v>1.2694045833333329</v>
      </c>
      <c r="DB39" s="193">
        <f>IFERROR(AVERAGEIF(RD[[#This Row],[IS1AT1 (°C)]:[IS7AT2 (°C)]],"&lt;&gt;0",RD[[#This Row],[IS1AT1 (°C)]:[IS7AT2 (°C)]]),"")</f>
        <v>35.026340624147807</v>
      </c>
      <c r="DC39" s="193">
        <f>IFERROR(AVERAGEIF(RD[[#This Row],[IS1MT1 (°C)]:[IS7MT2 (°C)]],"&lt;&gt;0",RD[[#This Row],[IS1MT1 (°C)]:[IS7MT2 (°C)]]),"")</f>
        <v>46.832291066784634</v>
      </c>
      <c r="DD39" s="193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193">
        <f>IFERROR(AVERAGEIF(RD[[#This Row],[WS_Solar1_Avg (m/s)]:[IS7_WS_Solar1_Avg (m/s)]],"&lt;&gt;0",RD[[#This Row],[WS_Solar1_Avg (m/s)]:[IS7_WS_Solar1_Avg (m/s)]]),"")</f>
        <v>1.2342428004176957</v>
      </c>
      <c r="DG39" s="193">
        <f>IFERROR(AVERAGEIF(RD[[#This Row],[WS_Solar1_Max (m/s)]:[IS7_WS_Solar1_Max (m/s)]],"&lt;&gt;0",RD[[#This Row],[WS_Solar1_Max (m/s)]:[IS7_WS_Solar1_Max (m/s)]]),"")</f>
        <v>3.351</v>
      </c>
      <c r="DH39" s="193">
        <f>SUM(RD[[#This Row],[IS1Inv1M1]:[IS4Inv4M2]])</f>
        <v>276049.80000000005</v>
      </c>
      <c r="DI39" s="194">
        <f>SUM(RD[[#This Row],[IS7Inv1M1]]+RD[[#This Row],[IS7Inv2M1]])</f>
        <v>16191</v>
      </c>
      <c r="DJ39" s="193">
        <f>SUM(RD[[#This Row],[IS5Inv1M1]:[IS5Inv2M2]])</f>
        <v>40134.399999999994</v>
      </c>
      <c r="DK39" s="193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75">
        <f>SUM(RD[[#This Row],[IS12Inv1M1]:[IS12Inv1M4]])</f>
        <v>27639.1</v>
      </c>
      <c r="DO39" s="275">
        <f>SUM(RD[[#This Row],[IS13Inv1M1]:[IS13Inv2M2]])</f>
        <v>9374.9000000000015</v>
      </c>
      <c r="DP39" s="193">
        <f>SUM(RD[[#This Row],[O2R15]:[O2R26]])</f>
        <v>601298.50000000012</v>
      </c>
      <c r="DQ39" s="158">
        <v>38463.599999999999</v>
      </c>
      <c r="DR39" s="162">
        <v>205.7</v>
      </c>
      <c r="DS39" s="158">
        <v>33140.5</v>
      </c>
      <c r="DT39" s="158">
        <v>217.9</v>
      </c>
      <c r="DU39" s="162">
        <v>38318</v>
      </c>
      <c r="DV39" s="162">
        <v>391.8</v>
      </c>
      <c r="DW39" s="158">
        <v>6314.5</v>
      </c>
      <c r="DX39" s="162">
        <v>28.9</v>
      </c>
      <c r="DY39" s="162"/>
      <c r="DZ39" s="162"/>
      <c r="EA39" s="134">
        <v>90.91</v>
      </c>
      <c r="EB39" s="230">
        <v>119548133</v>
      </c>
      <c r="EC39" s="229">
        <v>901027.71200000006</v>
      </c>
      <c r="ED39" s="230">
        <v>1079</v>
      </c>
      <c r="EE39" s="230">
        <v>113872</v>
      </c>
      <c r="EF39" s="158">
        <v>165813.5</v>
      </c>
      <c r="EG39" s="158">
        <v>1772.9</v>
      </c>
      <c r="EH39" s="140">
        <f>IF((RD[[#This Row],[33 kV_F3_Ex
Incomer1]]-DQ38)*1000&lt;0,0,(RD[[#This Row],[33 kV_F3_Ex
Incomer1]]-DQ38)*1000)</f>
        <v>140400.00000000146</v>
      </c>
      <c r="EI39" s="140">
        <f>IF((RD[[#This Row],[34 kV_F3_Im
Incomer1]]-DR38)*1000&lt;0,0,(RD[[#This Row],[34 kV_F3_Im
Incomer1]]-DR38)*1000)</f>
        <v>399.99999999997726</v>
      </c>
      <c r="EJ39" s="140">
        <f>IF((RD[[#This Row],[33 kV_F4_Ex
Incomer2]]-DS38)*1000&lt;0,0,(RD[[#This Row],[33 kV_F4_Ex
Incomer2]]-DS38)*1000)</f>
        <v>130800.00000000291</v>
      </c>
      <c r="EK39" s="140">
        <f>IF((RD[[#This Row],[34 kV_F4_Im
Incomer2]]-DT38)*1000&lt;0,0,(RD[[#This Row],[34 kV_F4_Im
Incomer2]]-DT38)*1000)</f>
        <v>300.00000000001137</v>
      </c>
      <c r="EL39" s="140">
        <f>IF((RD[[#This Row],[33 kV_F5_Ex
Incomer3]]-DU38)*1000&lt;0,0,(RD[[#This Row],[33 kV_F5_Ex
Incomer3]]-DU38)*1000)</f>
        <v>171300.00000000291</v>
      </c>
      <c r="EM39" s="140">
        <f>IF((RD[[#This Row],[34 kV_F5_Im
Incomer3]]-DV38)*1000&lt;0,0,(RD[[#This Row],[34 kV_F5_Im
Incomer3]]-DV38)*1000)</f>
        <v>600.00000000002274</v>
      </c>
      <c r="EN39" s="140">
        <f>IF((RD[[#This Row],[33 kV_F6_Ex
Incomer4]]-DW38)*1000&lt;0,0,(RD[[#This Row],[33 kV_F6_Ex
Incomer4]]-DW38)*1000)</f>
        <v>149399.99999999965</v>
      </c>
      <c r="EO39" s="140">
        <f>IF((RD[[#This Row],[33 kV_F6_Im
Incomer4]]-DX38)*1000&lt;0,0,(RD[[#This Row],[33 kV_F6_Im
Incomer4]]-DX38)*1000)</f>
        <v>799.99999999999716</v>
      </c>
      <c r="EP39" s="140">
        <f>IF((RD[[#This Row],[33 kV_F7_Ex
Incomer5]]-DY38)*1000&lt;0,0,(RD[[#This Row],[33 kV_F7_Ex
Incomer5]]-DY38)*1000)</f>
        <v>0</v>
      </c>
      <c r="EQ39" s="140">
        <f>IF((RD[[#This Row],[33 kV_F7_Im
Incomer5]]-DZ38)*1000&lt;0,0,(RD[[#This Row],[33 kV_F7_Im
Incomer5]]-DZ38)*1000)</f>
        <v>0</v>
      </c>
      <c r="ER39" s="140">
        <f>IF((RD[[#This Row],[33 kV_Aux Trafo]]-EA38)*1000&lt;0,0,(RD[[#This Row],[33 kV_Aux Trafo]]-EA38)*1000)</f>
        <v>319.99999999999318</v>
      </c>
      <c r="ES39" s="152">
        <f>IF((RD[[#This Row],[33kV_OG1_Ex_]]-EB38)*1&lt;0,0,(RD[[#This Row],[33kV_OG1_Ex_]]-EB38)*1)</f>
        <v>591979</v>
      </c>
      <c r="ET39" s="140">
        <f>IF((RD[[#This Row],[33kV_OG1_Im]]-EC38)*1&lt;0,0,(RD[[#This Row],[33kV_OG1_Im]]-EC38)*1)</f>
        <v>2226.0520000000251</v>
      </c>
      <c r="EU39" s="140">
        <f>IF((RD[[#This Row],[132kV_TX1_EX]]-ED38)*720&lt;=0,"",(RD[[#This Row],[132kV_TX1_EX]]-ED38)*720)</f>
        <v>2160</v>
      </c>
      <c r="EV39" s="140">
        <f>IF((RD[[#This Row],[132 kV_Tx1_Im]]-EE38)*720&lt;=0,0,(RD[[#This Row],[132 kV_Tx1_Im]]-EE38)*720)</f>
        <v>424080</v>
      </c>
      <c r="EW39" s="140">
        <f>IF((RD[[#This Row],[132kV_L1_Ex]]-EF38)*720&lt;=0,0,(RD[[#This Row],[132kV_L1_Ex]]-EF38)*720)</f>
        <v>589967.99999999581</v>
      </c>
      <c r="EX39" s="140">
        <f>IF((RD[[#This Row],[132kV_L1_Im]]-EG38)*720&lt;=0,0,(RD[[#This Row],[132kV_L1_Im]]-EG38)*720)</f>
        <v>2808.0000000000655</v>
      </c>
      <c r="EY39" s="231">
        <f>IFERROR(RD[[#This Row],[33kV_OG1_Ex (MWh)]]+RD[[#This Row],[33kV_OG1_Im (MWh)]],"")</f>
        <v>594205.05200000003</v>
      </c>
      <c r="EZ39" s="142">
        <f>RD[[#This Row],[33kV_OG1_Ex (MWh)]]-RD[[#This Row],[33kV_OG1_Im (MWh)]]</f>
        <v>589752.94799999997</v>
      </c>
      <c r="FA39" s="142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32">
        <f>IFERROR((RD[[#This Row],[Sunset Time (POA&lt;20 W/m2)]]-RD[[#This Row],[Sunrise Time (POA&gt;20 W/m2)]])*24,0)</f>
        <v>12.116666666666664</v>
      </c>
      <c r="FD39" s="233">
        <v>106</v>
      </c>
      <c r="FE39" t="s">
        <v>265</v>
      </c>
      <c r="FG39" s="138" t="str">
        <f>IFERROR(RD[[#This Row],[E_AC (WPR)]]/RD[[#This Row],[E_DC (WPR)]],"")</f>
        <v/>
      </c>
    </row>
    <row r="40" spans="1:163">
      <c r="A40" s="130">
        <f t="shared" si="157"/>
        <v>45780</v>
      </c>
      <c r="B40" s="132">
        <f>YEAR(RD[[#This Row],[Date]])+IF(MONTH(RD[[#This Row],[Date]])&gt;=4,1,0)</f>
        <v>2026</v>
      </c>
      <c r="C40" s="132">
        <f>YEAR(RD[[#This Row],[Date]])</f>
        <v>2025</v>
      </c>
      <c r="D40" s="133">
        <f t="shared" si="158"/>
        <v>45778</v>
      </c>
      <c r="E40" s="132">
        <f>DAY(EOMONTH(RD[[#This Row],[Date]],0))</f>
        <v>31</v>
      </c>
      <c r="F40" s="146">
        <v>0.25833333333333336</v>
      </c>
      <c r="G40" s="156">
        <v>0.77013888888888893</v>
      </c>
      <c r="H40" s="121">
        <v>8397.4</v>
      </c>
      <c r="I40" s="121">
        <v>8262.7000000000007</v>
      </c>
      <c r="J40" s="121">
        <v>7810.7</v>
      </c>
      <c r="K40" s="121">
        <v>8074.8</v>
      </c>
      <c r="L40" s="121">
        <v>8287.7000000000007</v>
      </c>
      <c r="M40" s="121">
        <v>8511.4</v>
      </c>
      <c r="N40" s="121">
        <v>8245.9</v>
      </c>
      <c r="O40" s="121">
        <v>8884.4</v>
      </c>
      <c r="P40" s="121">
        <v>8053.5</v>
      </c>
      <c r="Q40" s="121">
        <v>8060</v>
      </c>
      <c r="R40" s="121">
        <v>8306.4</v>
      </c>
      <c r="S40" s="121">
        <v>8129.9</v>
      </c>
      <c r="T40" s="121">
        <v>8424</v>
      </c>
      <c r="U40" s="121">
        <v>8210</v>
      </c>
      <c r="V40" s="121">
        <v>8423.1</v>
      </c>
      <c r="W40" s="121">
        <v>8139.9</v>
      </c>
      <c r="X40" s="192">
        <v>11358.9</v>
      </c>
      <c r="Y40" s="192">
        <v>12339.9</v>
      </c>
      <c r="Z40" s="192">
        <v>11011.7</v>
      </c>
      <c r="AA40" s="192">
        <v>11496.5</v>
      </c>
      <c r="AB40" s="192">
        <v>12312</v>
      </c>
      <c r="AC40" s="192">
        <v>7667.7</v>
      </c>
      <c r="AD40" s="192">
        <v>11504.3</v>
      </c>
      <c r="AE40" s="192">
        <v>11589.4</v>
      </c>
      <c r="AF40" s="192">
        <v>11396.2</v>
      </c>
      <c r="AG40" s="192">
        <v>11727</v>
      </c>
      <c r="AH40" s="192">
        <v>11445.7</v>
      </c>
      <c r="AI40" s="192">
        <v>11508.6</v>
      </c>
      <c r="AJ40" s="136">
        <v>10052.799999999999</v>
      </c>
      <c r="AK40" s="136">
        <v>10262.9</v>
      </c>
      <c r="AL40" s="136">
        <v>10099.200000000001</v>
      </c>
      <c r="AM40" s="136">
        <v>10138.5</v>
      </c>
      <c r="AN40" s="136">
        <v>8626.2999999999993</v>
      </c>
      <c r="AO40" s="136">
        <v>8908.4</v>
      </c>
      <c r="AP40" s="136">
        <v>8771</v>
      </c>
      <c r="AQ40" s="136">
        <v>8674.7999999999993</v>
      </c>
      <c r="AR40" s="136">
        <v>8164.8</v>
      </c>
      <c r="AS40" s="136">
        <v>8200.9</v>
      </c>
      <c r="AT40" s="136">
        <v>8327.2999999999993</v>
      </c>
      <c r="AU40" s="136">
        <v>8297.2999999999993</v>
      </c>
      <c r="AV40" s="136">
        <v>8440.2000000000007</v>
      </c>
      <c r="AW40" s="136">
        <v>8291</v>
      </c>
      <c r="AX40" s="136">
        <v>11474.2</v>
      </c>
      <c r="AY40" s="136">
        <v>12684.2</v>
      </c>
      <c r="AZ40" s="136">
        <v>9407.5</v>
      </c>
      <c r="BA40" s="136">
        <v>11279.8</v>
      </c>
      <c r="BB40" s="136">
        <v>10819.9</v>
      </c>
      <c r="BC40" s="136">
        <v>9086.2000000000007</v>
      </c>
      <c r="BD40" s="136">
        <v>7473</v>
      </c>
      <c r="BE40" s="136">
        <v>10174.4</v>
      </c>
      <c r="BF40" s="136">
        <v>10948.5</v>
      </c>
      <c r="BG40" s="136">
        <v>11110.5</v>
      </c>
      <c r="BH40" s="136">
        <v>6823</v>
      </c>
      <c r="BI40" s="136">
        <v>4139.7</v>
      </c>
      <c r="BJ40" s="136">
        <v>7310.1</v>
      </c>
      <c r="BK40" s="136">
        <v>5430.4</v>
      </c>
      <c r="BL40" s="136">
        <v>6834.6</v>
      </c>
      <c r="BM40" s="136">
        <v>6788.8</v>
      </c>
      <c r="BN40" s="136">
        <v>6888</v>
      </c>
      <c r="BO40" s="136">
        <v>7309.4</v>
      </c>
      <c r="BP40" s="136">
        <v>7103.3</v>
      </c>
      <c r="BQ40" s="136">
        <v>5697.9</v>
      </c>
      <c r="BR40" s="136">
        <v>5345.6</v>
      </c>
      <c r="BS40" s="136">
        <v>945.2</v>
      </c>
      <c r="BT40" s="136">
        <v>2405.1999999999998</v>
      </c>
      <c r="BU40" s="136">
        <v>1134.5</v>
      </c>
      <c r="BV40" s="136"/>
      <c r="BW40" s="136"/>
      <c r="BX40" s="136"/>
      <c r="BY40" s="136"/>
      <c r="BZ40" s="136">
        <v>1183.2</v>
      </c>
      <c r="CA40" s="136">
        <v>1009</v>
      </c>
      <c r="CB40" s="136">
        <v>4281.3999999999996</v>
      </c>
      <c r="CC40" s="136">
        <v>7755.2</v>
      </c>
      <c r="CD40" s="59">
        <v>6.7846378666666647</v>
      </c>
      <c r="CE40" s="59">
        <v>6.473088566666652</v>
      </c>
      <c r="CF40" s="195">
        <v>6.8618392166666569</v>
      </c>
      <c r="CG40" s="195">
        <v>6.6160032833333338</v>
      </c>
      <c r="CH40" s="195">
        <v>0.92739333333333229</v>
      </c>
      <c r="CI40" s="195">
        <v>1.1396934833333345</v>
      </c>
      <c r="CJ40" s="59">
        <v>1.3816905833333346</v>
      </c>
      <c r="CK40" s="59">
        <v>1.2308757333333333</v>
      </c>
      <c r="CL40" s="195">
        <v>34.137583333333311</v>
      </c>
      <c r="CM40" s="195">
        <v>34.334743055555592</v>
      </c>
      <c r="CN40" s="195">
        <v>45.972781250000025</v>
      </c>
      <c r="CO40" s="195">
        <v>44.128389583333281</v>
      </c>
      <c r="CP40" s="195">
        <v>22.182527777777764</v>
      </c>
      <c r="CQ40" s="195">
        <v>23.905527777777767</v>
      </c>
      <c r="CR40" s="59">
        <v>0</v>
      </c>
      <c r="CS40" s="59">
        <v>0</v>
      </c>
      <c r="CT40" s="195">
        <v>1.3178666666666681</v>
      </c>
      <c r="CU40" s="195">
        <v>1.4374958333333316</v>
      </c>
      <c r="CV40" s="195">
        <v>3.2370000000000001</v>
      </c>
      <c r="CW40" s="247">
        <v>3.0390000000000001</v>
      </c>
      <c r="CX40" s="193">
        <f>IFERROR(AVERAGEIF(RD[[#This Row],[IS1POA1 (KWh/m2)]:[IS7POA2 (KWh/m2)]],"&lt;&gt;0",RD[[#This Row],[IS1POA1 (KWh/m2)]:[IS7POA2 (KWh/m2)]]),"")</f>
        <v>6.6288632166666588</v>
      </c>
      <c r="CY40" s="193">
        <f>IFERROR(AVERAGEIF(RD[[#This Row],[IS1GHI1 (KWh/m2)]:[IS7GHI2 (KWh/m2)]],"&lt;&gt;0",RD[[#This Row],[IS1GHI1 (KWh/m2)]:[IS7GHI2 (KWh/m2)]]),"")</f>
        <v>6.7389212499999953</v>
      </c>
      <c r="CZ40" s="193">
        <f>IFERROR(AVERAGEIF(RD[[#This Row],[IS1POA_BS1 (KWh/m2)]:[IS7POA_BS2 (KWh/m2)]],"&lt;&gt;0",RD[[#This Row],[IS1POA_BS1 (KWh/m2)]:[IS7POA_BS2 (KWh/m2)]]),"")</f>
        <v>1.0335434083333335</v>
      </c>
      <c r="DA40" s="193">
        <f>IFERROR(AVERAGEIF(RD[[#This Row],[IS1GHI_BS1 (KWh/m2)]:[IS1GHI_BS1 (KWh/m2)2]],"&lt;&gt;0",RD[[#This Row],[IS1GHI_BS1 (KWh/m2)]:[IS1GHI_BS1 (KWh/m2)2]]),"")</f>
        <v>1.3062831583333341</v>
      </c>
      <c r="DB40" s="193">
        <f>IFERROR(AVERAGEIF(RD[[#This Row],[IS1AT1 (°C)]:[IS7AT2 (°C)]],"&lt;&gt;0",RD[[#This Row],[IS1AT1 (°C)]:[IS7AT2 (°C)]]),"")</f>
        <v>34.236163194444451</v>
      </c>
      <c r="DC40" s="193">
        <f>IFERROR(AVERAGEIF(RD[[#This Row],[IS1MT1 (°C)]:[IS7MT2 (°C)]],"&lt;&gt;0",RD[[#This Row],[IS1MT1 (°C)]:[IS7MT2 (°C)]]),"")</f>
        <v>45.05058541666665</v>
      </c>
      <c r="DD40" s="193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193">
        <f>IFERROR(AVERAGEIF(RD[[#This Row],[WS_Solar1_Avg (m/s)]:[IS7_WS_Solar1_Avg (m/s)]],"&lt;&gt;0",RD[[#This Row],[WS_Solar1_Avg (m/s)]:[IS7_WS_Solar1_Avg (m/s)]]),"")</f>
        <v>1.3776812499999997</v>
      </c>
      <c r="DG40" s="193">
        <f>IFERROR(AVERAGEIF(RD[[#This Row],[WS_Solar1_Max (m/s)]:[IS7_WS_Solar1_Max (m/s)]],"&lt;&gt;0",RD[[#This Row],[WS_Solar1_Max (m/s)]:[IS7_WS_Solar1_Max (m/s)]]),"")</f>
        <v>3.1379999999999999</v>
      </c>
      <c r="DH40" s="193">
        <f>SUM(RD[[#This Row],[IS1Inv1M1]:[IS4Inv4M2]])</f>
        <v>267579.7</v>
      </c>
      <c r="DI40" s="194">
        <f>SUM(RD[[#This Row],[IS7Inv1M1]]+RD[[#This Row],[IS7Inv2M1]])</f>
        <v>16365.7</v>
      </c>
      <c r="DJ40" s="193">
        <f>SUM(RD[[#This Row],[IS5Inv1M1]:[IS5Inv2M2]])</f>
        <v>40553.399999999994</v>
      </c>
      <c r="DK40" s="193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75">
        <f>SUM(RD[[#This Row],[IS12Inv1M1]:[IS12Inv1M4]])</f>
        <v>26998.6</v>
      </c>
      <c r="DO40" s="275">
        <f>SUM(RD[[#This Row],[IS13Inv1M1]:[IS13Inv2M2]])</f>
        <v>9830.5</v>
      </c>
      <c r="DP40" s="193">
        <f>SUM(RD[[#This Row],[O2R15]:[O2R26]])</f>
        <v>585677.80000000005</v>
      </c>
      <c r="DQ40" s="158">
        <v>38597.9</v>
      </c>
      <c r="DR40" s="162">
        <v>206</v>
      </c>
      <c r="DS40" s="158">
        <v>33268.5</v>
      </c>
      <c r="DT40" s="158">
        <v>218.3</v>
      </c>
      <c r="DU40" s="162">
        <v>38485.5</v>
      </c>
      <c r="DV40" s="162">
        <v>392.1</v>
      </c>
      <c r="DW40" s="158">
        <v>6459.7</v>
      </c>
      <c r="DX40" s="162">
        <v>29.5</v>
      </c>
      <c r="DY40" s="162"/>
      <c r="DZ40" s="162"/>
      <c r="EA40" s="134">
        <v>91.2</v>
      </c>
      <c r="EB40" s="230">
        <v>120123752</v>
      </c>
      <c r="EC40" s="229">
        <v>902716.28799999994</v>
      </c>
      <c r="ED40" s="230">
        <v>1081</v>
      </c>
      <c r="EE40" s="230">
        <v>114445</v>
      </c>
      <c r="EF40" s="158">
        <v>166610.20000000001</v>
      </c>
      <c r="EG40" s="158">
        <v>1776</v>
      </c>
      <c r="EH40" s="140">
        <f>IF((RD[[#This Row],[33 kV_F3_Ex
Incomer1]]-DQ39)*1000&lt;0,0,(RD[[#This Row],[33 kV_F3_Ex
Incomer1]]-DQ39)*1000)</f>
        <v>134300.00000000291</v>
      </c>
      <c r="EI40" s="140">
        <f>IF((RD[[#This Row],[34 kV_F3_Im
Incomer1]]-DR39)*1000&lt;0,0,(RD[[#This Row],[34 kV_F3_Im
Incomer1]]-DR39)*1000)</f>
        <v>300.00000000001137</v>
      </c>
      <c r="EJ40" s="140">
        <f>IF((RD[[#This Row],[33 kV_F4_Ex
Incomer2]]-DS39)*1000&lt;0,0,(RD[[#This Row],[33 kV_F4_Ex
Incomer2]]-DS39)*1000)</f>
        <v>128000</v>
      </c>
      <c r="EK40" s="140">
        <f>IF((RD[[#This Row],[34 kV_F4_Im
Incomer2]]-DT39)*1000&lt;0,0,(RD[[#This Row],[34 kV_F4_Im
Incomer2]]-DT39)*1000)</f>
        <v>400.00000000000568</v>
      </c>
      <c r="EL40" s="140">
        <f>IF((RD[[#This Row],[33 kV_F5_Ex
Incomer3]]-DU39)*1000&lt;0,0,(RD[[#This Row],[33 kV_F5_Ex
Incomer3]]-DU39)*1000)</f>
        <v>167500</v>
      </c>
      <c r="EM40" s="140">
        <f>IF((RD[[#This Row],[34 kV_F5_Im
Incomer3]]-DV39)*1000&lt;0,0,(RD[[#This Row],[34 kV_F5_Im
Incomer3]]-DV39)*1000)</f>
        <v>300.00000000001137</v>
      </c>
      <c r="EN40" s="140">
        <f>IF((RD[[#This Row],[33 kV_F6_Ex
Incomer4]]-DW39)*1000&lt;0,0,(RD[[#This Row],[33 kV_F6_Ex
Incomer4]]-DW39)*1000)</f>
        <v>145199.99999999983</v>
      </c>
      <c r="EO40" s="140">
        <f>IF((RD[[#This Row],[33 kV_F6_Im
Incomer4]]-DX39)*1000&lt;0,0,(RD[[#This Row],[33 kV_F6_Im
Incomer4]]-DX39)*1000)</f>
        <v>600.00000000000136</v>
      </c>
      <c r="EP40" s="140">
        <f>IF((RD[[#This Row],[33 kV_F7_Ex
Incomer5]]-DY39)*1000&lt;0,0,(RD[[#This Row],[33 kV_F7_Ex
Incomer5]]-DY39)*1000)</f>
        <v>0</v>
      </c>
      <c r="EQ40" s="140">
        <f>IF((RD[[#This Row],[33 kV_F7_Im
Incomer5]]-DZ39)*1000&lt;0,0,(RD[[#This Row],[33 kV_F7_Im
Incomer5]]-DZ39)*1000)</f>
        <v>0</v>
      </c>
      <c r="ER40" s="140">
        <f>IF((RD[[#This Row],[33 kV_Aux Trafo]]-EA39)*1000&lt;0,0,(RD[[#This Row],[33 kV_Aux Trafo]]-EA39)*1000)</f>
        <v>290.00000000000625</v>
      </c>
      <c r="ES40" s="152">
        <f>IF((RD[[#This Row],[33kV_OG1_Ex_]]-EB39)*1&lt;0,0,(RD[[#This Row],[33kV_OG1_Ex_]]-EB39)*1)</f>
        <v>575619</v>
      </c>
      <c r="ET40" s="140">
        <f>IF((RD[[#This Row],[33kV_OG1_Im]]-EC39)*1&lt;0,0,(RD[[#This Row],[33kV_OG1_Im]]-EC39)*1)</f>
        <v>1688.5759999998845</v>
      </c>
      <c r="EU40" s="140">
        <f>IF((RD[[#This Row],[132kV_TX1_EX]]-ED39)*720&lt;=0,"",(RD[[#This Row],[132kV_TX1_EX]]-ED39)*720)</f>
        <v>1440</v>
      </c>
      <c r="EV40" s="140">
        <f>IF((RD[[#This Row],[132 kV_Tx1_Im]]-EE39)*720&lt;=0,0,(RD[[#This Row],[132 kV_Tx1_Im]]-EE39)*720)</f>
        <v>412560</v>
      </c>
      <c r="EW40" s="140">
        <f>IF((RD[[#This Row],[132kV_L1_Ex]]-EF39)*720&lt;=0,0,(RD[[#This Row],[132kV_L1_Ex]]-EF39)*720)</f>
        <v>573624.00000000838</v>
      </c>
      <c r="EX40" s="140">
        <f>IF((RD[[#This Row],[132kV_L1_Im]]-EG39)*720&lt;=0,0,(RD[[#This Row],[132kV_L1_Im]]-EG39)*720)</f>
        <v>2231.9999999999345</v>
      </c>
      <c r="EY40" s="231">
        <f>IFERROR(RD[[#This Row],[33kV_OG1_Ex (MWh)]]+RD[[#This Row],[33kV_OG1_Im (MWh)]],"")</f>
        <v>577307.57599999988</v>
      </c>
      <c r="EZ40" s="142">
        <f>RD[[#This Row],[33kV_OG1_Ex (MWh)]]-RD[[#This Row],[33kV_OG1_Im (MWh)]]</f>
        <v>573930.42400000012</v>
      </c>
      <c r="FA40" s="142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32">
        <f>IFERROR((RD[[#This Row],[Sunset Time (POA&lt;20 W/m2)]]-RD[[#This Row],[Sunrise Time (POA&gt;20 W/m2)]])*24,0)</f>
        <v>12.283333333333335</v>
      </c>
      <c r="FD40" s="233">
        <v>106</v>
      </c>
      <c r="FE40" t="s">
        <v>265</v>
      </c>
      <c r="FG40" s="138" t="str">
        <f>IFERROR(RD[[#This Row],[E_AC (WPR)]]/RD[[#This Row],[E_DC (WPR)]],"")</f>
        <v/>
      </c>
    </row>
    <row r="41" spans="1:163">
      <c r="A41" s="130">
        <f t="shared" si="157"/>
        <v>45781</v>
      </c>
      <c r="B41" s="132">
        <f>YEAR(RD[[#This Row],[Date]])+IF(MONTH(RD[[#This Row],[Date]])&gt;=4,1,0)</f>
        <v>2026</v>
      </c>
      <c r="C41" s="132">
        <f>YEAR(RD[[#This Row],[Date]])</f>
        <v>2025</v>
      </c>
      <c r="D41" s="133">
        <f t="shared" si="158"/>
        <v>45778</v>
      </c>
      <c r="E41" s="132">
        <f>DAY(EOMONTH(RD[[#This Row],[Date]],0))</f>
        <v>31</v>
      </c>
      <c r="F41" s="146">
        <v>0.25833333333333336</v>
      </c>
      <c r="G41" s="156">
        <v>0.77152777777777781</v>
      </c>
      <c r="H41" s="121">
        <v>9229.7999999999993</v>
      </c>
      <c r="I41" s="121">
        <v>9178.7999999999993</v>
      </c>
      <c r="J41" s="121">
        <v>8547.6</v>
      </c>
      <c r="K41" s="121">
        <v>8639</v>
      </c>
      <c r="L41" s="121">
        <v>8867</v>
      </c>
      <c r="M41" s="121">
        <v>9134.4</v>
      </c>
      <c r="N41" s="121">
        <v>8875.7999999999993</v>
      </c>
      <c r="O41" s="121">
        <v>9611.9</v>
      </c>
      <c r="P41" s="121">
        <v>8868.7000000000007</v>
      </c>
      <c r="Q41" s="121">
        <v>8782.7000000000007</v>
      </c>
      <c r="R41" s="121">
        <v>9192</v>
      </c>
      <c r="S41" s="121">
        <v>9022</v>
      </c>
      <c r="T41" s="121">
        <v>9315.7000000000007</v>
      </c>
      <c r="U41" s="121">
        <v>9153</v>
      </c>
      <c r="V41" s="121">
        <v>9296.7000000000007</v>
      </c>
      <c r="W41" s="121">
        <v>9067.1</v>
      </c>
      <c r="X41" s="192">
        <v>12592.3</v>
      </c>
      <c r="Y41" s="192">
        <v>13604.8</v>
      </c>
      <c r="Z41" s="192">
        <v>12121.5</v>
      </c>
      <c r="AA41" s="192">
        <v>12578.1</v>
      </c>
      <c r="AB41" s="192">
        <v>12257.7</v>
      </c>
      <c r="AC41" s="192">
        <v>7548.9</v>
      </c>
      <c r="AD41" s="192">
        <v>11418.7</v>
      </c>
      <c r="AE41" s="192">
        <v>11547.7</v>
      </c>
      <c r="AF41" s="192">
        <v>11286.1</v>
      </c>
      <c r="AG41" s="192">
        <v>11238.7</v>
      </c>
      <c r="AH41" s="192">
        <v>11361.7</v>
      </c>
      <c r="AI41" s="192">
        <v>11462.9</v>
      </c>
      <c r="AJ41" s="136">
        <v>10490.1</v>
      </c>
      <c r="AK41" s="136">
        <v>10710.5</v>
      </c>
      <c r="AL41" s="136">
        <v>10484.4</v>
      </c>
      <c r="AM41" s="136">
        <v>10537.9</v>
      </c>
      <c r="AN41" s="136">
        <v>10573</v>
      </c>
      <c r="AO41" s="136">
        <v>10923.3</v>
      </c>
      <c r="AP41" s="136">
        <v>10718.4</v>
      </c>
      <c r="AQ41" s="136">
        <v>10590.9</v>
      </c>
      <c r="AR41" s="136">
        <v>8055.5</v>
      </c>
      <c r="AS41" s="136">
        <v>8103.8</v>
      </c>
      <c r="AT41" s="136">
        <v>8786.9</v>
      </c>
      <c r="AU41" s="136">
        <v>8712.7000000000007</v>
      </c>
      <c r="AV41" s="136">
        <v>8960.9</v>
      </c>
      <c r="AW41" s="136">
        <v>8778</v>
      </c>
      <c r="AX41" s="136">
        <v>12137.3</v>
      </c>
      <c r="AY41" s="136">
        <v>13418.4</v>
      </c>
      <c r="AZ41" s="136">
        <v>9794.1</v>
      </c>
      <c r="BA41" s="136">
        <v>11728.1</v>
      </c>
      <c r="BB41" s="136">
        <v>12064.5</v>
      </c>
      <c r="BC41" s="136">
        <v>10082.1</v>
      </c>
      <c r="BD41" s="136">
        <v>8312.7999999999993</v>
      </c>
      <c r="BE41" s="136">
        <v>11359.2</v>
      </c>
      <c r="BF41" s="136">
        <v>10650</v>
      </c>
      <c r="BG41" s="136">
        <v>11289</v>
      </c>
      <c r="BH41" s="136">
        <v>12203.8</v>
      </c>
      <c r="BI41" s="136">
        <v>7579</v>
      </c>
      <c r="BJ41" s="136">
        <v>8236.7999999999993</v>
      </c>
      <c r="BK41" s="136">
        <v>6125</v>
      </c>
      <c r="BL41" s="136">
        <v>7677.4</v>
      </c>
      <c r="BM41" s="136">
        <v>7620.9</v>
      </c>
      <c r="BN41" s="136">
        <v>7734.1</v>
      </c>
      <c r="BO41" s="136">
        <v>8248.7999999999993</v>
      </c>
      <c r="BP41" s="136">
        <v>8010.4</v>
      </c>
      <c r="BQ41" s="136">
        <v>6433.4</v>
      </c>
      <c r="BR41" s="136">
        <v>7811.5</v>
      </c>
      <c r="BS41" s="136">
        <v>1298.2</v>
      </c>
      <c r="BT41" s="136">
        <v>2687.1</v>
      </c>
      <c r="BU41" s="136">
        <v>1449.7</v>
      </c>
      <c r="BV41" s="136"/>
      <c r="BW41" s="136"/>
      <c r="BX41" s="136"/>
      <c r="BY41" s="136"/>
      <c r="BZ41" s="136">
        <v>1353.3</v>
      </c>
      <c r="CA41" s="136">
        <v>1139.9000000000001</v>
      </c>
      <c r="CB41" s="136">
        <v>4800.1000000000004</v>
      </c>
      <c r="CC41" s="136">
        <v>8632.5</v>
      </c>
      <c r="CD41" s="59">
        <v>7.1993710500000061</v>
      </c>
      <c r="CE41" s="59">
        <v>6.7504897499999856</v>
      </c>
      <c r="CF41" s="195">
        <v>7.3277360333333323</v>
      </c>
      <c r="CG41" s="195">
        <v>6.7174712666666538</v>
      </c>
      <c r="CH41" s="195">
        <v>1.0030697333333325</v>
      </c>
      <c r="CI41" s="195">
        <v>1.1584575833333317</v>
      </c>
      <c r="CJ41" s="59">
        <v>1.4494196166666646</v>
      </c>
      <c r="CK41" s="59">
        <v>1.2675575499999987</v>
      </c>
      <c r="CL41" s="195">
        <v>32.190430555555494</v>
      </c>
      <c r="CM41" s="195">
        <v>32.304833333333306</v>
      </c>
      <c r="CN41" s="195">
        <v>45.61091111111115</v>
      </c>
      <c r="CO41" s="195">
        <v>43.304853472222256</v>
      </c>
      <c r="CP41" s="195">
        <v>30.337875000000011</v>
      </c>
      <c r="CQ41" s="195">
        <v>32.24168055555559</v>
      </c>
      <c r="CR41" s="59">
        <v>0</v>
      </c>
      <c r="CS41" s="59">
        <v>0</v>
      </c>
      <c r="CT41" s="195">
        <v>1.1476770833333323</v>
      </c>
      <c r="CU41" s="195">
        <v>1.2742708333333337</v>
      </c>
      <c r="CV41" s="195">
        <v>3.4740000000000002</v>
      </c>
      <c r="CW41" s="247">
        <v>3.5939999999999999</v>
      </c>
      <c r="CX41" s="193">
        <f>IFERROR(AVERAGEIF(RD[[#This Row],[IS1POA1 (KWh/m2)]:[IS7POA2 (KWh/m2)]],"&lt;&gt;0",RD[[#This Row],[IS1POA1 (KWh/m2)]:[IS7POA2 (KWh/m2)]]),"")</f>
        <v>6.9749303999999963</v>
      </c>
      <c r="CY41" s="193">
        <f>IFERROR(AVERAGEIF(RD[[#This Row],[IS1GHI1 (KWh/m2)]:[IS7GHI2 (KWh/m2)]],"&lt;&gt;0",RD[[#This Row],[IS1GHI1 (KWh/m2)]:[IS7GHI2 (KWh/m2)]]),"")</f>
        <v>7.0226036499999935</v>
      </c>
      <c r="CZ41" s="193">
        <f>IFERROR(AVERAGEIF(RD[[#This Row],[IS1POA_BS1 (KWh/m2)]:[IS7POA_BS2 (KWh/m2)]],"&lt;&gt;0",RD[[#This Row],[IS1POA_BS1 (KWh/m2)]:[IS7POA_BS2 (KWh/m2)]]),"")</f>
        <v>1.080763658333332</v>
      </c>
      <c r="DA41" s="193">
        <f>IFERROR(AVERAGEIF(RD[[#This Row],[IS1GHI_BS1 (KWh/m2)]:[IS1GHI_BS1 (KWh/m2)2]],"&lt;&gt;0",RD[[#This Row],[IS1GHI_BS1 (KWh/m2)]:[IS1GHI_BS1 (KWh/m2)2]]),"")</f>
        <v>1.3584885833333318</v>
      </c>
      <c r="DB41" s="193">
        <f>IFERROR(AVERAGEIF(RD[[#This Row],[IS1AT1 (°C)]:[IS7AT2 (°C)]],"&lt;&gt;0",RD[[#This Row],[IS1AT1 (°C)]:[IS7AT2 (°C)]]),"")</f>
        <v>32.2476319444444</v>
      </c>
      <c r="DC41" s="193">
        <f>IFERROR(AVERAGEIF(RD[[#This Row],[IS1MT1 (°C)]:[IS7MT2 (°C)]],"&lt;&gt;0",RD[[#This Row],[IS1MT1 (°C)]:[IS7MT2 (°C)]]),"")</f>
        <v>44.457882291666706</v>
      </c>
      <c r="DD41" s="193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193">
        <f>IFERROR(AVERAGEIF(RD[[#This Row],[WS_Solar1_Avg (m/s)]:[IS7_WS_Solar1_Avg (m/s)]],"&lt;&gt;0",RD[[#This Row],[WS_Solar1_Avg (m/s)]:[IS7_WS_Solar1_Avg (m/s)]]),"")</f>
        <v>1.210973958333333</v>
      </c>
      <c r="DG41" s="193">
        <f>IFERROR(AVERAGEIF(RD[[#This Row],[WS_Solar1_Max (m/s)]:[IS7_WS_Solar1_Max (m/s)]],"&lt;&gt;0",RD[[#This Row],[WS_Solar1_Max (m/s)]:[IS7_WS_Solar1_Max (m/s)]]),"")</f>
        <v>3.5339999999999998</v>
      </c>
      <c r="DH41" s="193">
        <f>SUM(RD[[#This Row],[IS1Inv1M1]:[IS4Inv4M2]])</f>
        <v>283801.30000000005</v>
      </c>
      <c r="DI41" s="194">
        <f>SUM(RD[[#This Row],[IS7Inv1M1]]+RD[[#This Row],[IS7Inv2M1]])</f>
        <v>16159.3</v>
      </c>
      <c r="DJ41" s="193">
        <f>SUM(RD[[#This Row],[IS5Inv1M1]:[IS5Inv2M2]])</f>
        <v>42222.9</v>
      </c>
      <c r="DK41" s="193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75">
        <f>SUM(RD[[#This Row],[IS12Inv1M1]:[IS12Inv1M4]])</f>
        <v>30426.699999999997</v>
      </c>
      <c r="DO41" s="275">
        <f>SUM(RD[[#This Row],[IS13Inv1M1]:[IS13Inv2M2]])</f>
        <v>13246.500000000002</v>
      </c>
      <c r="DP41" s="193">
        <f>SUM(RD[[#This Row],[O2R15]:[O2R26]])</f>
        <v>640105</v>
      </c>
      <c r="DQ41" s="158">
        <v>38735.599999999999</v>
      </c>
      <c r="DR41" s="162">
        <v>206.3</v>
      </c>
      <c r="DS41" s="158">
        <v>33407.5</v>
      </c>
      <c r="DT41" s="158">
        <v>218.6</v>
      </c>
      <c r="DU41" s="162">
        <v>38666.199999999997</v>
      </c>
      <c r="DV41" s="162">
        <v>392.6</v>
      </c>
      <c r="DW41" s="158">
        <v>6621.4</v>
      </c>
      <c r="DX41" s="162">
        <v>30.4</v>
      </c>
      <c r="DY41" s="162"/>
      <c r="DZ41" s="162"/>
      <c r="EA41" s="134">
        <v>91.51</v>
      </c>
      <c r="EB41" s="230">
        <v>120745099</v>
      </c>
      <c r="EC41" s="229">
        <v>905073.08799999999</v>
      </c>
      <c r="ED41" s="230">
        <v>1084</v>
      </c>
      <c r="EE41" s="230">
        <v>115064</v>
      </c>
      <c r="EF41" s="158">
        <v>167470.20000000001</v>
      </c>
      <c r="EG41" s="158">
        <v>1780</v>
      </c>
      <c r="EH41" s="140">
        <f>IF((RD[[#This Row],[33 kV_F3_Ex
Incomer1]]-DQ40)*1000&lt;0,0,(RD[[#This Row],[33 kV_F3_Ex
Incomer1]]-DQ40)*1000)</f>
        <v>137699.99999999709</v>
      </c>
      <c r="EI41" s="140">
        <f>IF((RD[[#This Row],[34 kV_F3_Im
Incomer1]]-DR40)*1000&lt;0,0,(RD[[#This Row],[34 kV_F3_Im
Incomer1]]-DR40)*1000)</f>
        <v>300.00000000001137</v>
      </c>
      <c r="EJ41" s="140">
        <f>IF((RD[[#This Row],[33 kV_F4_Ex
Incomer2]]-DS40)*1000&lt;0,0,(RD[[#This Row],[33 kV_F4_Ex
Incomer2]]-DS40)*1000)</f>
        <v>139000</v>
      </c>
      <c r="EK41" s="140">
        <f>IF((RD[[#This Row],[34 kV_F4_Im
Incomer2]]-DT40)*1000&lt;0,0,(RD[[#This Row],[34 kV_F4_Im
Incomer2]]-DT40)*1000)</f>
        <v>299.99999999998295</v>
      </c>
      <c r="EL41" s="140">
        <f>IF((RD[[#This Row],[33 kV_F5_Ex
Incomer3]]-DU40)*1000&lt;0,0,(RD[[#This Row],[33 kV_F5_Ex
Incomer3]]-DU40)*1000)</f>
        <v>180699.99999999709</v>
      </c>
      <c r="EM41" s="140">
        <f>IF((RD[[#This Row],[34 kV_F5_Im
Incomer3]]-DV40)*1000&lt;0,0,(RD[[#This Row],[34 kV_F5_Im
Incomer3]]-DV40)*1000)</f>
        <v>500</v>
      </c>
      <c r="EN41" s="140">
        <f>IF((RD[[#This Row],[33 kV_F6_Ex
Incomer4]]-DW40)*1000&lt;0,0,(RD[[#This Row],[33 kV_F6_Ex
Incomer4]]-DW40)*1000)</f>
        <v>161699.99999999983</v>
      </c>
      <c r="EO41" s="140">
        <f>IF((RD[[#This Row],[33 kV_F6_Im
Incomer4]]-DX40)*1000&lt;0,0,(RD[[#This Row],[33 kV_F6_Im
Incomer4]]-DX40)*1000)</f>
        <v>899.99999999999864</v>
      </c>
      <c r="EP41" s="140">
        <f>IF((RD[[#This Row],[33 kV_F7_Ex
Incomer5]]-DY40)*1000&lt;0,0,(RD[[#This Row],[33 kV_F7_Ex
Incomer5]]-DY40)*1000)</f>
        <v>0</v>
      </c>
      <c r="EQ41" s="140">
        <f>IF((RD[[#This Row],[33 kV_F7_Im
Incomer5]]-DZ40)*1000&lt;0,0,(RD[[#This Row],[33 kV_F7_Im
Incomer5]]-DZ40)*1000)</f>
        <v>0</v>
      </c>
      <c r="ER41" s="140">
        <f>IF((RD[[#This Row],[33 kV_Aux Trafo]]-EA40)*1000&lt;0,0,(RD[[#This Row],[33 kV_Aux Trafo]]-EA40)*1000)</f>
        <v>310.00000000000227</v>
      </c>
      <c r="ES41" s="152">
        <f>IF((RD[[#This Row],[33kV_OG1_Ex_]]-EB40)*1&lt;0,0,(RD[[#This Row],[33kV_OG1_Ex_]]-EB40)*1)</f>
        <v>621347</v>
      </c>
      <c r="ET41" s="140">
        <f>IF((RD[[#This Row],[33kV_OG1_Im]]-EC40)*1&lt;0,0,(RD[[#This Row],[33kV_OG1_Im]]-EC40)*1)</f>
        <v>2356.8000000000466</v>
      </c>
      <c r="EU41" s="140">
        <f>IF((RD[[#This Row],[132kV_TX1_EX]]-ED40)*720&lt;=0,"",(RD[[#This Row],[132kV_TX1_EX]]-ED40)*720)</f>
        <v>2160</v>
      </c>
      <c r="EV41" s="140">
        <f>IF((RD[[#This Row],[132 kV_Tx1_Im]]-EE40)*720&lt;=0,0,(RD[[#This Row],[132 kV_Tx1_Im]]-EE40)*720)</f>
        <v>445680</v>
      </c>
      <c r="EW41" s="140">
        <f>IF((RD[[#This Row],[132kV_L1_Ex]]-EF40)*720&lt;=0,0,(RD[[#This Row],[132kV_L1_Ex]]-EF40)*720)</f>
        <v>619200</v>
      </c>
      <c r="EX41" s="140">
        <f>IF((RD[[#This Row],[132kV_L1_Im]]-EG40)*720&lt;=0,0,(RD[[#This Row],[132kV_L1_Im]]-EG40)*720)</f>
        <v>2880</v>
      </c>
      <c r="EY41" s="231">
        <f>IFERROR(RD[[#This Row],[33kV_OG1_Ex (MWh)]]+RD[[#This Row],[33kV_OG1_Im (MWh)]],"")</f>
        <v>623703.80000000005</v>
      </c>
      <c r="EZ41" s="142">
        <f>RD[[#This Row],[33kV_OG1_Ex (MWh)]]-RD[[#This Row],[33kV_OG1_Im (MWh)]]</f>
        <v>618990.19999999995</v>
      </c>
      <c r="FA41" s="142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32">
        <f>IFERROR((RD[[#This Row],[Sunset Time (POA&lt;20 W/m2)]]-RD[[#This Row],[Sunrise Time (POA&gt;20 W/m2)]])*24,0)</f>
        <v>12.316666666666668</v>
      </c>
      <c r="FD41" s="233">
        <v>106</v>
      </c>
      <c r="FE41" t="s">
        <v>265</v>
      </c>
      <c r="FG41" s="138" t="str">
        <f>IFERROR(RD[[#This Row],[E_AC (WPR)]]/RD[[#This Row],[E_DC (WPR)]],"")</f>
        <v/>
      </c>
    </row>
    <row r="42" spans="1:163">
      <c r="A42" s="130">
        <f t="shared" si="157"/>
        <v>45782</v>
      </c>
      <c r="B42" s="132">
        <f>YEAR(RD[[#This Row],[Date]])+IF(MONTH(RD[[#This Row],[Date]])&gt;=4,1,0)</f>
        <v>2026</v>
      </c>
      <c r="C42" s="132">
        <f>YEAR(RD[[#This Row],[Date]])</f>
        <v>2025</v>
      </c>
      <c r="D42" s="133">
        <f t="shared" si="158"/>
        <v>45778</v>
      </c>
      <c r="E42" s="132">
        <f>DAY(EOMONTH(RD[[#This Row],[Date]],0))</f>
        <v>31</v>
      </c>
      <c r="F42" s="146">
        <v>0.27569444444444446</v>
      </c>
      <c r="G42" s="156">
        <v>0.81597222222222221</v>
      </c>
      <c r="H42" s="121">
        <v>8716.4</v>
      </c>
      <c r="I42" s="121">
        <v>8674.7000000000007</v>
      </c>
      <c r="J42" s="121">
        <v>8088.5</v>
      </c>
      <c r="K42" s="121">
        <v>8157.3</v>
      </c>
      <c r="L42" s="121">
        <v>8396.9</v>
      </c>
      <c r="M42" s="121">
        <v>8675.4</v>
      </c>
      <c r="N42" s="121">
        <v>8411</v>
      </c>
      <c r="O42" s="121">
        <v>9112.4</v>
      </c>
      <c r="P42" s="121">
        <v>8399.5</v>
      </c>
      <c r="Q42" s="121">
        <v>8325</v>
      </c>
      <c r="R42" s="121">
        <v>8734.1</v>
      </c>
      <c r="S42" s="121">
        <v>8587.6</v>
      </c>
      <c r="T42" s="121">
        <v>8823.4</v>
      </c>
      <c r="U42" s="121">
        <v>8700.2000000000007</v>
      </c>
      <c r="V42" s="121">
        <v>8830.5</v>
      </c>
      <c r="W42" s="121">
        <v>8590.2000000000007</v>
      </c>
      <c r="X42" s="192">
        <v>11990</v>
      </c>
      <c r="Y42" s="192">
        <v>13023.4</v>
      </c>
      <c r="Z42" s="192">
        <v>11496.1</v>
      </c>
      <c r="AA42" s="192">
        <v>11903.2</v>
      </c>
      <c r="AB42" s="192">
        <v>12992.4</v>
      </c>
      <c r="AC42" s="192">
        <v>8021</v>
      </c>
      <c r="AD42" s="192">
        <v>12116.8</v>
      </c>
      <c r="AE42" s="192">
        <v>12228.9</v>
      </c>
      <c r="AF42" s="192">
        <v>11980.3</v>
      </c>
      <c r="AG42" s="192">
        <v>11906.3</v>
      </c>
      <c r="AH42" s="192">
        <v>12012.5</v>
      </c>
      <c r="AI42" s="192">
        <v>12132.6</v>
      </c>
      <c r="AJ42" s="136">
        <v>10046.1</v>
      </c>
      <c r="AK42" s="136">
        <v>10230.9</v>
      </c>
      <c r="AL42" s="136">
        <v>9980.5</v>
      </c>
      <c r="AM42" s="136">
        <v>10078.700000000001</v>
      </c>
      <c r="AN42" s="136">
        <v>10074.299999999999</v>
      </c>
      <c r="AO42" s="136">
        <v>10415.6</v>
      </c>
      <c r="AP42" s="136">
        <v>10249.4</v>
      </c>
      <c r="AQ42" s="136">
        <v>10138.4</v>
      </c>
      <c r="AR42" s="136">
        <v>8139.8</v>
      </c>
      <c r="AS42" s="136">
        <v>8201.9</v>
      </c>
      <c r="AT42" s="136">
        <v>8347.2999999999993</v>
      </c>
      <c r="AU42" s="136">
        <v>8307.2000000000007</v>
      </c>
      <c r="AV42" s="136">
        <v>8566.4</v>
      </c>
      <c r="AW42" s="136">
        <v>8403.7999999999993</v>
      </c>
      <c r="AX42" s="136">
        <v>11650.4</v>
      </c>
      <c r="AY42" s="136">
        <v>12918.4</v>
      </c>
      <c r="AZ42" s="136">
        <v>9328.9</v>
      </c>
      <c r="BA42" s="136">
        <v>11175.2</v>
      </c>
      <c r="BB42" s="136">
        <v>11209.9</v>
      </c>
      <c r="BC42" s="136">
        <v>9380.6</v>
      </c>
      <c r="BD42" s="136">
        <v>7766.9</v>
      </c>
      <c r="BE42" s="136">
        <v>10547.1</v>
      </c>
      <c r="BF42" s="136">
        <v>11235</v>
      </c>
      <c r="BG42" s="136">
        <v>11350</v>
      </c>
      <c r="BH42" s="136">
        <v>6924.1</v>
      </c>
      <c r="BI42" s="136">
        <v>4286.2</v>
      </c>
      <c r="BJ42" s="136">
        <v>7651.3</v>
      </c>
      <c r="BK42" s="136">
        <v>5546.2</v>
      </c>
      <c r="BL42" s="136">
        <v>7183.4</v>
      </c>
      <c r="BM42" s="136">
        <v>7129.3</v>
      </c>
      <c r="BN42" s="136">
        <v>7165.1</v>
      </c>
      <c r="BO42" s="136">
        <v>7373</v>
      </c>
      <c r="BP42" s="136">
        <v>7445.5</v>
      </c>
      <c r="BQ42" s="136">
        <v>5977.7</v>
      </c>
      <c r="BR42" s="136">
        <v>6126.4</v>
      </c>
      <c r="BS42" s="136">
        <v>1478.9</v>
      </c>
      <c r="BT42" s="136">
        <v>2872.8</v>
      </c>
      <c r="BU42" s="136">
        <v>1542.5</v>
      </c>
      <c r="BV42" s="136"/>
      <c r="BW42" s="136"/>
      <c r="BX42" s="136"/>
      <c r="BY42" s="136"/>
      <c r="BZ42" s="136">
        <v>1247.7</v>
      </c>
      <c r="CA42" s="136">
        <v>1041.9000000000001</v>
      </c>
      <c r="CB42" s="136">
        <v>4464.3999999999996</v>
      </c>
      <c r="CC42" s="136">
        <v>8160.1</v>
      </c>
      <c r="CD42" s="59">
        <v>6.8117458999999991</v>
      </c>
      <c r="CE42" s="59">
        <v>6.2750000000000004</v>
      </c>
      <c r="CF42" s="195">
        <v>6.9183544000000037</v>
      </c>
      <c r="CG42" s="195">
        <v>6.35</v>
      </c>
      <c r="CH42" s="195">
        <v>6.9183544000000037</v>
      </c>
      <c r="CI42" s="195">
        <v>1.1200000000000001</v>
      </c>
      <c r="CJ42" s="59">
        <v>1.3561856666666674</v>
      </c>
      <c r="CK42" s="59">
        <v>1.1539999999999999</v>
      </c>
      <c r="CL42" s="195">
        <v>31.750174854287984</v>
      </c>
      <c r="CM42" s="195">
        <v>33.204999999999998</v>
      </c>
      <c r="CN42" s="195">
        <v>46.448009991673594</v>
      </c>
      <c r="CO42" s="195">
        <v>42.201999999999998</v>
      </c>
      <c r="CP42" s="195">
        <v>33.467693588676092</v>
      </c>
      <c r="CQ42" s="195">
        <v>31.1</v>
      </c>
      <c r="CR42" s="59">
        <v>0</v>
      </c>
      <c r="CS42" s="59">
        <v>0</v>
      </c>
      <c r="CT42" s="195">
        <v>1.1400199833472087</v>
      </c>
      <c r="CU42" s="195">
        <v>1.109</v>
      </c>
      <c r="CV42" s="195">
        <v>4.3680000000000003</v>
      </c>
      <c r="CW42" s="247">
        <v>3.4340000000000002</v>
      </c>
      <c r="CX42" s="193">
        <f>IFERROR(AVERAGEIF(RD[[#This Row],[IS1POA1 (KWh/m2)]:[IS7POA2 (KWh/m2)]],"&lt;&gt;0",RD[[#This Row],[IS1POA1 (KWh/m2)]:[IS7POA2 (KWh/m2)]]),"")</f>
        <v>6.5433729500000002</v>
      </c>
      <c r="CY42" s="193">
        <f>IFERROR(AVERAGEIF(RD[[#This Row],[IS1GHI1 (KWh/m2)]:[IS7GHI2 (KWh/m2)]],"&lt;&gt;0",RD[[#This Row],[IS1GHI1 (KWh/m2)]:[IS7GHI2 (KWh/m2)]]),"")</f>
        <v>6.6341772000000017</v>
      </c>
      <c r="CZ42" s="193">
        <f>IFERROR(AVERAGEIF(RD[[#This Row],[IS1POA_BS1 (KWh/m2)]:[IS7POA_BS2 (KWh/m2)]],"&lt;&gt;0",RD[[#This Row],[IS1POA_BS1 (KWh/m2)]:[IS7POA_BS2 (KWh/m2)]]),"")</f>
        <v>4.0191772000000014</v>
      </c>
      <c r="DA42" s="193">
        <f>IFERROR(AVERAGEIF(RD[[#This Row],[IS1GHI_BS1 (KWh/m2)]:[IS1GHI_BS1 (KWh/m2)2]],"&lt;&gt;0",RD[[#This Row],[IS1GHI_BS1 (KWh/m2)]:[IS1GHI_BS1 (KWh/m2)2]]),"")</f>
        <v>1.2550928333333338</v>
      </c>
      <c r="DB42" s="193">
        <f>IFERROR(AVERAGEIF(RD[[#This Row],[IS1AT1 (°C)]:[IS7AT2 (°C)]],"&lt;&gt;0",RD[[#This Row],[IS1AT1 (°C)]:[IS7AT2 (°C)]]),"")</f>
        <v>32.477587427143987</v>
      </c>
      <c r="DC42" s="193">
        <f>IFERROR(AVERAGEIF(RD[[#This Row],[IS1MT1 (°C)]:[IS7MT2 (°C)]],"&lt;&gt;0",RD[[#This Row],[IS1MT1 (°C)]:[IS7MT2 (°C)]]),"")</f>
        <v>44.325004995836792</v>
      </c>
      <c r="DD42" s="193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193">
        <f>IFERROR(AVERAGEIF(RD[[#This Row],[WS_Solar1_Avg (m/s)]:[IS7_WS_Solar1_Avg (m/s)]],"&lt;&gt;0",RD[[#This Row],[WS_Solar1_Avg (m/s)]:[IS7_WS_Solar1_Avg (m/s)]]),"")</f>
        <v>1.1245099916736043</v>
      </c>
      <c r="DG42" s="193">
        <f>IFERROR(AVERAGEIF(RD[[#This Row],[WS_Solar1_Max (m/s)]:[IS7_WS_Solar1_Max (m/s)]],"&lt;&gt;0",RD[[#This Row],[WS_Solar1_Max (m/s)]:[IS7_WS_Solar1_Max (m/s)]]),"")</f>
        <v>3.9010000000000002</v>
      </c>
      <c r="DH42" s="193">
        <f>SUM(RD[[#This Row],[IS1Inv1M1]:[IS4Inv4M2]])</f>
        <v>279026.59999999998</v>
      </c>
      <c r="DI42" s="194">
        <f>SUM(RD[[#This Row],[IS7Inv1M1]]+RD[[#This Row],[IS7Inv2M1]])</f>
        <v>16341.7</v>
      </c>
      <c r="DJ42" s="193">
        <f>SUM(RD[[#This Row],[IS5Inv1M1]:[IS5Inv2M2]])</f>
        <v>40336.199999999997</v>
      </c>
      <c r="DK42" s="193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75">
        <f>SUM(RD[[#This Row],[IS12Inv1M1]:[IS12Inv1M4]])</f>
        <v>27961.3</v>
      </c>
      <c r="DO42" s="275">
        <f>SUM(RD[[#This Row],[IS13Inv1M1]:[IS13Inv2M2]])</f>
        <v>12020.599999999999</v>
      </c>
      <c r="DP42" s="193">
        <f>SUM(RD[[#This Row],[O2R15]:[O2R26]])</f>
        <v>610385.80000000005</v>
      </c>
      <c r="DQ42" s="158">
        <v>38876.300000000003</v>
      </c>
      <c r="DR42" s="162">
        <v>206.6</v>
      </c>
      <c r="DS42" s="158">
        <v>33540.6</v>
      </c>
      <c r="DT42" s="158">
        <v>218.9</v>
      </c>
      <c r="DU42" s="162">
        <v>38839.800000000003</v>
      </c>
      <c r="DV42" s="162">
        <v>393.1</v>
      </c>
      <c r="DW42" s="158">
        <v>6773.8</v>
      </c>
      <c r="DX42" s="162">
        <v>31.1</v>
      </c>
      <c r="DY42" s="162"/>
      <c r="DZ42" s="162"/>
      <c r="EA42" s="134">
        <v>91.78</v>
      </c>
      <c r="EB42" s="230">
        <v>121345286</v>
      </c>
      <c r="EC42" s="229">
        <v>906982.33600000001</v>
      </c>
      <c r="ED42" s="230">
        <v>1086</v>
      </c>
      <c r="EE42" s="230">
        <v>115662</v>
      </c>
      <c r="EF42" s="158">
        <v>168300.7</v>
      </c>
      <c r="EG42" s="158">
        <v>1783.3</v>
      </c>
      <c r="EH42" s="140">
        <f>IF((RD[[#This Row],[33 kV_F3_Ex
Incomer1]]-DQ41)*1000&lt;0,0,(RD[[#This Row],[33 kV_F3_Ex
Incomer1]]-DQ41)*1000)</f>
        <v>140700.00000000437</v>
      </c>
      <c r="EI42" s="140">
        <f>IF((RD[[#This Row],[34 kV_F3_Im
Incomer1]]-DR41)*1000&lt;0,0,(RD[[#This Row],[34 kV_F3_Im
Incomer1]]-DR41)*1000)</f>
        <v>299.99999999998295</v>
      </c>
      <c r="EJ42" s="140">
        <f>IF((RD[[#This Row],[33 kV_F4_Ex
Incomer2]]-DS41)*1000&lt;0,0,(RD[[#This Row],[33 kV_F4_Ex
Incomer2]]-DS41)*1000)</f>
        <v>133099.99999999854</v>
      </c>
      <c r="EK42" s="140">
        <f>IF((RD[[#This Row],[34 kV_F4_Im
Incomer2]]-DT41)*1000&lt;0,0,(RD[[#This Row],[34 kV_F4_Im
Incomer2]]-DT41)*1000)</f>
        <v>300.00000000001137</v>
      </c>
      <c r="EL42" s="140">
        <f>IF((RD[[#This Row],[33 kV_F5_Ex
Incomer3]]-DU41)*1000&lt;0,0,(RD[[#This Row],[33 kV_F5_Ex
Incomer3]]-DU41)*1000)</f>
        <v>173600.00000000582</v>
      </c>
      <c r="EM42" s="140">
        <f>IF((RD[[#This Row],[34 kV_F5_Im
Incomer3]]-DV41)*1000&lt;0,0,(RD[[#This Row],[34 kV_F5_Im
Incomer3]]-DV41)*1000)</f>
        <v>500</v>
      </c>
      <c r="EN42" s="140">
        <f>IF((RD[[#This Row],[33 kV_F6_Ex
Incomer4]]-DW41)*1000&lt;0,0,(RD[[#This Row],[33 kV_F6_Ex
Incomer4]]-DW41)*1000)</f>
        <v>152400.00000000055</v>
      </c>
      <c r="EO42" s="140">
        <f>IF((RD[[#This Row],[33 kV_F6_Im
Incomer4]]-DX41)*1000&lt;0,0,(RD[[#This Row],[33 kV_F6_Im
Incomer4]]-DX41)*1000)</f>
        <v>700.00000000000284</v>
      </c>
      <c r="EP42" s="140">
        <f>IF((RD[[#This Row],[33 kV_F7_Ex
Incomer5]]-DY41)*1000&lt;0,0,(RD[[#This Row],[33 kV_F7_Ex
Incomer5]]-DY41)*1000)</f>
        <v>0</v>
      </c>
      <c r="EQ42" s="140">
        <f>IF((RD[[#This Row],[33 kV_F7_Im
Incomer5]]-DZ41)*1000&lt;0,0,(RD[[#This Row],[33 kV_F7_Im
Incomer5]]-DZ41)*1000)</f>
        <v>0</v>
      </c>
      <c r="ER42" s="140">
        <f>IF((RD[[#This Row],[33 kV_Aux Trafo]]-EA41)*1000&lt;0,0,(RD[[#This Row],[33 kV_Aux Trafo]]-EA41)*1000)</f>
        <v>269.99999999999602</v>
      </c>
      <c r="ES42" s="152">
        <f>IF((RD[[#This Row],[33kV_OG1_Ex_]]-EB41)*1&lt;0,0,(RD[[#This Row],[33kV_OG1_Ex_]]-EB41)*1)</f>
        <v>600187</v>
      </c>
      <c r="ET42" s="140">
        <f>IF((RD[[#This Row],[33kV_OG1_Im]]-EC41)*1&lt;0,0,(RD[[#This Row],[33kV_OG1_Im]]-EC41)*1)</f>
        <v>1909.2480000000214</v>
      </c>
      <c r="EU42" s="140">
        <f>IF((RD[[#This Row],[132kV_TX1_EX]]-ED41)*720&lt;=0,"",(RD[[#This Row],[132kV_TX1_EX]]-ED41)*720)</f>
        <v>1440</v>
      </c>
      <c r="EV42" s="140">
        <f>IF((RD[[#This Row],[132 kV_Tx1_Im]]-EE41)*720&lt;=0,0,(RD[[#This Row],[132 kV_Tx1_Im]]-EE41)*720)</f>
        <v>430560</v>
      </c>
      <c r="EW42" s="140">
        <f>IF((RD[[#This Row],[132kV_L1_Ex]]-EF41)*720&lt;=0,0,(RD[[#This Row],[132kV_L1_Ex]]-EF41)*720)</f>
        <v>597960</v>
      </c>
      <c r="EX42" s="140">
        <f>IF((RD[[#This Row],[132kV_L1_Im]]-EG41)*720&lt;=0,0,(RD[[#This Row],[132kV_L1_Im]]-EG41)*720)</f>
        <v>2375.9999999999673</v>
      </c>
      <c r="EY42" s="231">
        <f>IFERROR(RD[[#This Row],[33kV_OG1_Ex (MWh)]]+RD[[#This Row],[33kV_OG1_Im (MWh)]],"")</f>
        <v>602096.24800000002</v>
      </c>
      <c r="EZ42" s="142">
        <f>RD[[#This Row],[33kV_OG1_Ex (MWh)]]-RD[[#This Row],[33kV_OG1_Im (MWh)]]</f>
        <v>598277.75199999998</v>
      </c>
      <c r="FA42" s="142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32">
        <f>IFERROR((RD[[#This Row],[Sunset Time (POA&lt;20 W/m2)]]-RD[[#This Row],[Sunrise Time (POA&gt;20 W/m2)]])*24,0)</f>
        <v>12.966666666666665</v>
      </c>
      <c r="FD42" s="233">
        <v>106</v>
      </c>
      <c r="FE42" t="s">
        <v>265</v>
      </c>
      <c r="FG42" s="138" t="str">
        <f>IFERROR(RD[[#This Row],[E_AC (WPR)]]/RD[[#This Row],[E_DC (WPR)]],"")</f>
        <v/>
      </c>
    </row>
    <row r="43" spans="1:163">
      <c r="A43" s="130">
        <f t="shared" si="157"/>
        <v>45783</v>
      </c>
      <c r="B43" s="132">
        <f>YEAR(RD[[#This Row],[Date]])+IF(MONTH(RD[[#This Row],[Date]])&gt;=4,1,0)</f>
        <v>2026</v>
      </c>
      <c r="C43" s="132">
        <f>YEAR(RD[[#This Row],[Date]])</f>
        <v>2025</v>
      </c>
      <c r="D43" s="133">
        <f t="shared" si="158"/>
        <v>45778</v>
      </c>
      <c r="E43" s="132">
        <f>DAY(EOMONTH(RD[[#This Row],[Date]],0))</f>
        <v>31</v>
      </c>
      <c r="F43" s="146">
        <v>0.25972222222222224</v>
      </c>
      <c r="G43" s="156">
        <v>0.74513888888888891</v>
      </c>
      <c r="H43" s="121">
        <v>8590.2000000000007</v>
      </c>
      <c r="I43" s="121">
        <v>8548.6</v>
      </c>
      <c r="J43" s="121">
        <v>8171</v>
      </c>
      <c r="K43" s="121">
        <v>8240.9</v>
      </c>
      <c r="L43" s="121">
        <v>8468.7000000000007</v>
      </c>
      <c r="M43" s="121">
        <v>8664</v>
      </c>
      <c r="N43" s="121">
        <v>8408.5</v>
      </c>
      <c r="O43" s="121">
        <v>8982.5</v>
      </c>
      <c r="P43" s="121">
        <v>8421.4</v>
      </c>
      <c r="Q43" s="121">
        <v>8381.6</v>
      </c>
      <c r="R43" s="121">
        <v>8687</v>
      </c>
      <c r="S43" s="121">
        <v>8633.4</v>
      </c>
      <c r="T43" s="121">
        <v>8862.7000000000007</v>
      </c>
      <c r="U43" s="121">
        <v>8724.4</v>
      </c>
      <c r="V43" s="121">
        <v>8751.2999999999993</v>
      </c>
      <c r="W43" s="121">
        <v>8474.7999999999993</v>
      </c>
      <c r="X43" s="192">
        <v>11980.8</v>
      </c>
      <c r="Y43" s="192">
        <v>12942.5</v>
      </c>
      <c r="Z43" s="192">
        <v>11570.5</v>
      </c>
      <c r="AA43" s="192">
        <v>12099</v>
      </c>
      <c r="AB43" s="192">
        <v>12828.5</v>
      </c>
      <c r="AC43" s="192">
        <v>8142.8</v>
      </c>
      <c r="AD43" s="192">
        <v>12097.7</v>
      </c>
      <c r="AE43" s="192">
        <v>12293.1</v>
      </c>
      <c r="AF43" s="192">
        <v>12022.8</v>
      </c>
      <c r="AG43" s="192">
        <v>11949.5</v>
      </c>
      <c r="AH43" s="192">
        <v>11940.8</v>
      </c>
      <c r="AI43" s="192">
        <v>12051.7</v>
      </c>
      <c r="AJ43" s="136">
        <v>10102.799999999999</v>
      </c>
      <c r="AK43" s="136">
        <v>10344.6</v>
      </c>
      <c r="AL43" s="136">
        <v>10059</v>
      </c>
      <c r="AM43" s="136">
        <v>10165.1</v>
      </c>
      <c r="AN43" s="136">
        <v>10099.799999999999</v>
      </c>
      <c r="AO43" s="136">
        <v>10427.5</v>
      </c>
      <c r="AP43" s="136">
        <v>10270.6</v>
      </c>
      <c r="AQ43" s="136">
        <v>10134.9</v>
      </c>
      <c r="AR43" s="136">
        <v>8257.6</v>
      </c>
      <c r="AS43" s="136">
        <v>8331.5</v>
      </c>
      <c r="AT43" s="136">
        <v>8362.5</v>
      </c>
      <c r="AU43" s="136">
        <v>8323.7999999999993</v>
      </c>
      <c r="AV43" s="136">
        <v>8513.7999999999993</v>
      </c>
      <c r="AW43" s="136">
        <v>8197.7000000000007</v>
      </c>
      <c r="AX43" s="136">
        <v>11718.8</v>
      </c>
      <c r="AY43" s="136">
        <v>12766.8</v>
      </c>
      <c r="AZ43" s="136">
        <v>9440</v>
      </c>
      <c r="BA43" s="136">
        <v>11395.2</v>
      </c>
      <c r="BB43" s="136">
        <v>11759</v>
      </c>
      <c r="BC43" s="136">
        <v>9799.5</v>
      </c>
      <c r="BD43" s="136">
        <v>8131.8</v>
      </c>
      <c r="BE43" s="136">
        <v>11103.3</v>
      </c>
      <c r="BF43" s="136">
        <v>12037.2</v>
      </c>
      <c r="BG43" s="136">
        <v>11993.5</v>
      </c>
      <c r="BH43" s="136">
        <v>7142.5</v>
      </c>
      <c r="BI43" s="136">
        <v>4461.8</v>
      </c>
      <c r="BJ43" s="136">
        <v>7235</v>
      </c>
      <c r="BK43" s="136">
        <v>5230</v>
      </c>
      <c r="BL43" s="136">
        <v>6932</v>
      </c>
      <c r="BM43" s="136">
        <v>6909</v>
      </c>
      <c r="BN43" s="136">
        <v>6858</v>
      </c>
      <c r="BO43" s="136">
        <v>7030</v>
      </c>
      <c r="BP43" s="136">
        <v>7134</v>
      </c>
      <c r="BQ43" s="136">
        <v>5875</v>
      </c>
      <c r="BR43" s="136">
        <v>6173.1</v>
      </c>
      <c r="BS43" s="136">
        <v>1514.3</v>
      </c>
      <c r="BT43" s="136">
        <v>2961.2</v>
      </c>
      <c r="BU43" s="136">
        <v>1547.8</v>
      </c>
      <c r="BV43" s="136"/>
      <c r="BW43" s="136"/>
      <c r="BX43" s="136"/>
      <c r="BY43" s="136"/>
      <c r="BZ43" s="136">
        <v>1210</v>
      </c>
      <c r="CA43" s="136">
        <v>1009</v>
      </c>
      <c r="CB43" s="136">
        <v>4231</v>
      </c>
      <c r="CC43" s="136">
        <v>7985</v>
      </c>
      <c r="CD43" s="59">
        <v>6.6925646166666706</v>
      </c>
      <c r="CE43" s="59">
        <v>6.5573097999999987</v>
      </c>
      <c r="CF43" s="195">
        <v>6.7917442833333368</v>
      </c>
      <c r="CG43" s="195">
        <v>6.231253783333341</v>
      </c>
      <c r="CH43" s="195">
        <v>0.89070824999999876</v>
      </c>
      <c r="CI43" s="195">
        <v>0.9369680166666674</v>
      </c>
      <c r="CJ43" s="59">
        <v>1.2269434999999995</v>
      </c>
      <c r="CK43" s="59">
        <v>1.078330566666668</v>
      </c>
      <c r="CL43" s="195">
        <v>28.187914110429556</v>
      </c>
      <c r="CM43" s="195">
        <v>27.931720438527829</v>
      </c>
      <c r="CN43" s="195">
        <v>41.900332055214669</v>
      </c>
      <c r="CO43" s="195">
        <v>39.126941268598209</v>
      </c>
      <c r="CP43" s="195">
        <v>53.418213190184041</v>
      </c>
      <c r="CQ43" s="195">
        <v>57.760887235708687</v>
      </c>
      <c r="CR43" s="59">
        <v>0</v>
      </c>
      <c r="CS43" s="59">
        <v>0</v>
      </c>
      <c r="CT43" s="195">
        <v>1.361222392638036</v>
      </c>
      <c r="CU43" s="195">
        <v>1.331097102584184</v>
      </c>
      <c r="CV43" s="195">
        <v>5.8559999999999999</v>
      </c>
      <c r="CW43" s="247">
        <v>5.8920000000000003</v>
      </c>
      <c r="CX43" s="193">
        <f>IFERROR(AVERAGEIF(RD[[#This Row],[IS1POA1 (KWh/m2)]:[IS7POA2 (KWh/m2)]],"&lt;&gt;0",RD[[#This Row],[IS1POA1 (KWh/m2)]:[IS7POA2 (KWh/m2)]]),"")</f>
        <v>6.6249372083333347</v>
      </c>
      <c r="CY43" s="193">
        <f>IFERROR(AVERAGEIF(RD[[#This Row],[IS1GHI1 (KWh/m2)]:[IS7GHI2 (KWh/m2)]],"&lt;&gt;0",RD[[#This Row],[IS1GHI1 (KWh/m2)]:[IS7GHI2 (KWh/m2)]]),"")</f>
        <v>6.5114990333333385</v>
      </c>
      <c r="CZ43" s="193">
        <f>IFERROR(AVERAGEIF(RD[[#This Row],[IS1POA_BS1 (KWh/m2)]:[IS7POA_BS2 (KWh/m2)]],"&lt;&gt;0",RD[[#This Row],[IS1POA_BS1 (KWh/m2)]:[IS7POA_BS2 (KWh/m2)]]),"")</f>
        <v>0.91383813333333308</v>
      </c>
      <c r="DA43" s="193">
        <f>IFERROR(AVERAGEIF(RD[[#This Row],[IS1GHI_BS1 (KWh/m2)]:[IS1GHI_BS1 (KWh/m2)2]],"&lt;&gt;0",RD[[#This Row],[IS1GHI_BS1 (KWh/m2)]:[IS1GHI_BS1 (KWh/m2)2]]),"")</f>
        <v>1.1526370333333338</v>
      </c>
      <c r="DB43" s="193">
        <f>IFERROR(AVERAGEIF(RD[[#This Row],[IS1AT1 (°C)]:[IS7AT2 (°C)]],"&lt;&gt;0",RD[[#This Row],[IS1AT1 (°C)]:[IS7AT2 (°C)]]),"")</f>
        <v>28.059817274478693</v>
      </c>
      <c r="DC43" s="193">
        <f>IFERROR(AVERAGEIF(RD[[#This Row],[IS1MT1 (°C)]:[IS7MT2 (°C)]],"&lt;&gt;0",RD[[#This Row],[IS1MT1 (°C)]:[IS7MT2 (°C)]]),"")</f>
        <v>40.513636661906439</v>
      </c>
      <c r="DD43" s="193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193">
        <f>IFERROR(AVERAGEIF(RD[[#This Row],[WS_Solar1_Avg (m/s)]:[IS7_WS_Solar1_Avg (m/s)]],"&lt;&gt;0",RD[[#This Row],[WS_Solar1_Avg (m/s)]:[IS7_WS_Solar1_Avg (m/s)]]),"")</f>
        <v>1.34615974761111</v>
      </c>
      <c r="DG43" s="193">
        <f>IFERROR(AVERAGEIF(RD[[#This Row],[WS_Solar1_Max (m/s)]:[IS7_WS_Solar1_Max (m/s)]],"&lt;&gt;0",RD[[#This Row],[WS_Solar1_Max (m/s)]:[IS7_WS_Solar1_Max (m/s)]]),"")</f>
        <v>5.8740000000000006</v>
      </c>
      <c r="DH43" s="193">
        <f>SUM(RD[[#This Row],[IS1Inv1M1]:[IS4Inv4M2]])</f>
        <v>278930.7</v>
      </c>
      <c r="DI43" s="194">
        <f>SUM(RD[[#This Row],[IS7Inv1M1]]+RD[[#This Row],[IS7Inv2M1]])</f>
        <v>16589.099999999999</v>
      </c>
      <c r="DJ43" s="193">
        <f>SUM(RD[[#This Row],[IS5Inv1M1]:[IS5Inv2M2]])</f>
        <v>40671.5</v>
      </c>
      <c r="DK43" s="193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75">
        <f>SUM(RD[[#This Row],[IS12Inv1M1]:[IS12Inv1M4]])</f>
        <v>26897</v>
      </c>
      <c r="DO43" s="275">
        <f>SUM(RD[[#This Row],[IS13Inv1M1]:[IS13Inv2M2]])</f>
        <v>12196.4</v>
      </c>
      <c r="DP43" s="193">
        <f>SUM(RD[[#This Row],[O2R15]:[O2R26]])</f>
        <v>612105.70000000007</v>
      </c>
      <c r="DQ43" s="158">
        <v>39017</v>
      </c>
      <c r="DR43" s="162">
        <v>207</v>
      </c>
      <c r="DS43" s="158">
        <v>33673.9</v>
      </c>
      <c r="DT43" s="158">
        <v>219.2</v>
      </c>
      <c r="DU43" s="162">
        <v>39013.800000000003</v>
      </c>
      <c r="DV43" s="162">
        <v>393.7</v>
      </c>
      <c r="DW43" s="158">
        <v>6932.2</v>
      </c>
      <c r="DX43" s="162">
        <v>31.3</v>
      </c>
      <c r="DY43" s="162"/>
      <c r="DZ43" s="162"/>
      <c r="EA43" s="134">
        <v>92.04</v>
      </c>
      <c r="EB43" s="230">
        <v>121951952</v>
      </c>
      <c r="EC43" s="229">
        <v>908554.17599999998</v>
      </c>
      <c r="ED43" s="230">
        <v>1089</v>
      </c>
      <c r="EE43" s="230">
        <v>116266</v>
      </c>
      <c r="EF43" s="158">
        <v>169140.1</v>
      </c>
      <c r="EG43" s="158">
        <v>1786.2</v>
      </c>
      <c r="EH43" s="140">
        <f>IF((RD[[#This Row],[33 kV_F3_Ex
Incomer1]]-DQ42)*1000&lt;0,0,(RD[[#This Row],[33 kV_F3_Ex
Incomer1]]-DQ42)*1000)</f>
        <v>140699.99999999709</v>
      </c>
      <c r="EI43" s="140">
        <f>IF((RD[[#This Row],[34 kV_F3_Im
Incomer1]]-DR42)*1000&lt;0,0,(RD[[#This Row],[34 kV_F3_Im
Incomer1]]-DR42)*1000)</f>
        <v>400.00000000000568</v>
      </c>
      <c r="EJ43" s="140">
        <f>IF((RD[[#This Row],[33 kV_F4_Ex
Incomer2]]-DS42)*1000&lt;0,0,(RD[[#This Row],[33 kV_F4_Ex
Incomer2]]-DS42)*1000)</f>
        <v>133300.00000000291</v>
      </c>
      <c r="EK43" s="140">
        <f>IF((RD[[#This Row],[34 kV_F4_Im
Incomer2]]-DT42)*1000&lt;0,0,(RD[[#This Row],[34 kV_F4_Im
Incomer2]]-DT42)*1000)</f>
        <v>299.99999999998295</v>
      </c>
      <c r="EL43" s="140">
        <f>IF((RD[[#This Row],[33 kV_F5_Ex
Incomer3]]-DU42)*1000&lt;0,0,(RD[[#This Row],[33 kV_F5_Ex
Incomer3]]-DU42)*1000)</f>
        <v>174000</v>
      </c>
      <c r="EM43" s="140">
        <f>IF((RD[[#This Row],[34 kV_F5_Im
Incomer3]]-DV42)*1000&lt;0,0,(RD[[#This Row],[34 kV_F5_Im
Incomer3]]-DV42)*1000)</f>
        <v>599.99999999996589</v>
      </c>
      <c r="EN43" s="140">
        <f>IF((RD[[#This Row],[33 kV_F6_Ex
Incomer4]]-DW42)*1000&lt;0,0,(RD[[#This Row],[33 kV_F6_Ex
Incomer4]]-DW42)*1000)</f>
        <v>158399.99999999965</v>
      </c>
      <c r="EO43" s="140">
        <f>IF((RD[[#This Row],[33 kV_F6_Im
Incomer4]]-DX42)*1000&lt;0,0,(RD[[#This Row],[33 kV_F6_Im
Incomer4]]-DX42)*1000)</f>
        <v>199.99999999999929</v>
      </c>
      <c r="EP43" s="140">
        <f>IF((RD[[#This Row],[33 kV_F7_Ex
Incomer5]]-DY42)*1000&lt;0,0,(RD[[#This Row],[33 kV_F7_Ex
Incomer5]]-DY42)*1000)</f>
        <v>0</v>
      </c>
      <c r="EQ43" s="140">
        <f>IF((RD[[#This Row],[33 kV_F7_Im
Incomer5]]-DZ42)*1000&lt;0,0,(RD[[#This Row],[33 kV_F7_Im
Incomer5]]-DZ42)*1000)</f>
        <v>0</v>
      </c>
      <c r="ER43" s="140">
        <f>IF((RD[[#This Row],[33 kV_Aux Trafo]]-EA42)*1000&lt;0,0,(RD[[#This Row],[33 kV_Aux Trafo]]-EA42)*1000)</f>
        <v>260.00000000000512</v>
      </c>
      <c r="ES43" s="152">
        <f>IF((RD[[#This Row],[33kV_OG1_Ex_]]-EB42)*1&lt;0,0,(RD[[#This Row],[33kV_OG1_Ex_]]-EB42)*1)</f>
        <v>606666</v>
      </c>
      <c r="ET43" s="140">
        <f>IF((RD[[#This Row],[33kV_OG1_Im]]-EC42)*1&lt;0,0,(RD[[#This Row],[33kV_OG1_Im]]-EC42)*1)</f>
        <v>1571.8399999999674</v>
      </c>
      <c r="EU43" s="140">
        <f>IF((RD[[#This Row],[132kV_TX1_EX]]-ED42)*720&lt;=0,"",(RD[[#This Row],[132kV_TX1_EX]]-ED42)*720)</f>
        <v>2160</v>
      </c>
      <c r="EV43" s="140">
        <f>IF((RD[[#This Row],[132 kV_Tx1_Im]]-EE42)*720&lt;=0,0,(RD[[#This Row],[132 kV_Tx1_Im]]-EE42)*720)</f>
        <v>434880</v>
      </c>
      <c r="EW43" s="140">
        <f>IF((RD[[#This Row],[132kV_L1_Ex]]-EF42)*720&lt;=0,0,(RD[[#This Row],[132kV_L1_Ex]]-EF42)*720)</f>
        <v>604367.99999999581</v>
      </c>
      <c r="EX43" s="140">
        <f>IF((RD[[#This Row],[132kV_L1_Im]]-EG42)*720&lt;=0,0,(RD[[#This Row],[132kV_L1_Im]]-EG42)*720)</f>
        <v>2088.0000000000655</v>
      </c>
      <c r="EY43" s="231">
        <f>IFERROR(RD[[#This Row],[33kV_OG1_Ex (MWh)]]+RD[[#This Row],[33kV_OG1_Im (MWh)]],"")</f>
        <v>608237.84</v>
      </c>
      <c r="EZ43" s="142">
        <f>RD[[#This Row],[33kV_OG1_Ex (MWh)]]-RD[[#This Row],[33kV_OG1_Im (MWh)]]</f>
        <v>605094.16</v>
      </c>
      <c r="FA43" s="142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32">
        <f>IFERROR((RD[[#This Row],[Sunset Time (POA&lt;20 W/m2)]]-RD[[#This Row],[Sunrise Time (POA&gt;20 W/m2)]])*24,0)</f>
        <v>11.65</v>
      </c>
      <c r="FD43" s="233">
        <v>106</v>
      </c>
      <c r="FE43" t="s">
        <v>265</v>
      </c>
      <c r="FG43" s="138" t="str">
        <f>IFERROR(RD[[#This Row],[E_AC (WPR)]]/RD[[#This Row],[E_DC (WPR)]],"")</f>
        <v/>
      </c>
    </row>
    <row r="44" spans="1:163">
      <c r="A44" s="130">
        <f t="shared" si="157"/>
        <v>45784</v>
      </c>
      <c r="B44" s="132">
        <f>YEAR(RD[[#This Row],[Date]])+IF(MONTH(RD[[#This Row],[Date]])&gt;=4,1,0)</f>
        <v>2026</v>
      </c>
      <c r="C44" s="132">
        <f>YEAR(RD[[#This Row],[Date]])</f>
        <v>2025</v>
      </c>
      <c r="D44" s="133">
        <f t="shared" si="158"/>
        <v>45778</v>
      </c>
      <c r="E44" s="132">
        <f>DAY(EOMONTH(RD[[#This Row],[Date]],0))</f>
        <v>31</v>
      </c>
      <c r="F44" s="146">
        <v>0.25486111111111109</v>
      </c>
      <c r="G44" s="156">
        <v>0.77222222222222225</v>
      </c>
      <c r="H44" s="121">
        <v>8765</v>
      </c>
      <c r="I44" s="121">
        <v>8719</v>
      </c>
      <c r="J44" s="121">
        <v>8366</v>
      </c>
      <c r="K44" s="121">
        <v>8505</v>
      </c>
      <c r="L44" s="121">
        <v>8762</v>
      </c>
      <c r="M44" s="121">
        <v>8929</v>
      </c>
      <c r="N44" s="121">
        <v>8630</v>
      </c>
      <c r="O44" s="121">
        <v>9171</v>
      </c>
      <c r="P44" s="121">
        <v>8577</v>
      </c>
      <c r="Q44" s="121">
        <v>8588</v>
      </c>
      <c r="R44" s="121">
        <v>8858</v>
      </c>
      <c r="S44" s="121">
        <v>8807</v>
      </c>
      <c r="T44" s="121">
        <v>9012</v>
      </c>
      <c r="U44" s="121">
        <v>8898</v>
      </c>
      <c r="V44" s="121">
        <v>8935</v>
      </c>
      <c r="W44" s="121">
        <v>8577</v>
      </c>
      <c r="X44" s="192">
        <v>12187</v>
      </c>
      <c r="Y44" s="192">
        <v>13013</v>
      </c>
      <c r="Z44" s="192">
        <v>11857</v>
      </c>
      <c r="AA44" s="192">
        <v>12234</v>
      </c>
      <c r="AB44" s="192">
        <v>12963</v>
      </c>
      <c r="AC44" s="192">
        <v>8403</v>
      </c>
      <c r="AD44" s="192">
        <v>12283</v>
      </c>
      <c r="AE44" s="192">
        <v>12439</v>
      </c>
      <c r="AF44" s="192">
        <v>12204</v>
      </c>
      <c r="AG44" s="192">
        <v>12194</v>
      </c>
      <c r="AH44" s="192">
        <v>12176</v>
      </c>
      <c r="AI44" s="192">
        <v>12441</v>
      </c>
      <c r="AJ44" s="136">
        <v>10748</v>
      </c>
      <c r="AK44" s="136">
        <v>10996</v>
      </c>
      <c r="AL44" s="136">
        <v>10712</v>
      </c>
      <c r="AM44" s="136">
        <v>10835</v>
      </c>
      <c r="AN44" s="136">
        <v>10100</v>
      </c>
      <c r="AO44" s="136">
        <v>10428</v>
      </c>
      <c r="AP44" s="136">
        <v>10922</v>
      </c>
      <c r="AQ44" s="136">
        <v>10782</v>
      </c>
      <c r="AR44" s="136">
        <v>8648</v>
      </c>
      <c r="AS44" s="136">
        <v>8710</v>
      </c>
      <c r="AT44" s="136">
        <v>7266</v>
      </c>
      <c r="AU44" s="136">
        <v>7230</v>
      </c>
      <c r="AV44" s="136">
        <v>7378</v>
      </c>
      <c r="AW44" s="136">
        <v>7133</v>
      </c>
      <c r="AX44" s="136">
        <v>11100</v>
      </c>
      <c r="AY44" s="136">
        <v>11943</v>
      </c>
      <c r="AZ44" s="136">
        <v>9038</v>
      </c>
      <c r="BA44" s="136">
        <v>10852</v>
      </c>
      <c r="BB44" s="136">
        <v>12117</v>
      </c>
      <c r="BC44" s="136">
        <v>10231</v>
      </c>
      <c r="BD44" s="136">
        <v>8488</v>
      </c>
      <c r="BE44" s="136">
        <v>11592</v>
      </c>
      <c r="BF44" s="136">
        <v>12369</v>
      </c>
      <c r="BG44" s="136">
        <v>12321</v>
      </c>
      <c r="BH44" s="136">
        <v>7296</v>
      </c>
      <c r="BI44" s="136">
        <v>4623</v>
      </c>
      <c r="BJ44" s="136">
        <v>8293</v>
      </c>
      <c r="BK44" s="136">
        <v>5966</v>
      </c>
      <c r="BL44" s="136">
        <v>7742</v>
      </c>
      <c r="BM44" s="136">
        <v>7668</v>
      </c>
      <c r="BN44" s="136">
        <v>7582</v>
      </c>
      <c r="BO44" s="136">
        <v>7739</v>
      </c>
      <c r="BP44" s="136">
        <v>7859</v>
      </c>
      <c r="BQ44" s="136">
        <v>7232</v>
      </c>
      <c r="BR44" s="136">
        <v>6468</v>
      </c>
      <c r="BS44" s="136">
        <v>2698</v>
      </c>
      <c r="BT44" s="136">
        <v>3075</v>
      </c>
      <c r="BU44" s="136">
        <v>1613</v>
      </c>
      <c r="BV44" s="136"/>
      <c r="BW44" s="136"/>
      <c r="BX44" s="136"/>
      <c r="BY44" s="136"/>
      <c r="BZ44" s="136">
        <v>1324</v>
      </c>
      <c r="CA44" s="136">
        <v>1114</v>
      </c>
      <c r="CB44" s="136">
        <v>4735</v>
      </c>
      <c r="CC44" s="136">
        <v>8511</v>
      </c>
      <c r="CD44" s="59">
        <v>6.7690000000000001</v>
      </c>
      <c r="CE44" s="59">
        <v>6.8959999999999999</v>
      </c>
      <c r="CF44" s="195">
        <v>6.9509999999999996</v>
      </c>
      <c r="CG44" s="195">
        <v>6.899</v>
      </c>
      <c r="CH44" s="195">
        <v>0.90700000000000003</v>
      </c>
      <c r="CI44" s="195">
        <v>1.004</v>
      </c>
      <c r="CJ44" s="59">
        <v>1.2629999999999999</v>
      </c>
      <c r="CK44" s="59">
        <v>1.133</v>
      </c>
      <c r="CL44" s="195">
        <v>26.716000000000001</v>
      </c>
      <c r="CM44" s="195">
        <v>26.552</v>
      </c>
      <c r="CN44" s="195">
        <v>41.006999999999998</v>
      </c>
      <c r="CO44" s="195">
        <v>38.631999999999998</v>
      </c>
      <c r="CP44" s="195">
        <v>52.8</v>
      </c>
      <c r="CQ44" s="195">
        <v>55.661999999999999</v>
      </c>
      <c r="CR44" s="59">
        <v>0</v>
      </c>
      <c r="CS44" s="59">
        <v>0</v>
      </c>
      <c r="CT44" s="195">
        <v>1.1639999999999999</v>
      </c>
      <c r="CU44" s="195">
        <v>1.175</v>
      </c>
      <c r="CV44" s="195">
        <v>4.47</v>
      </c>
      <c r="CW44" s="247">
        <v>3.84</v>
      </c>
      <c r="CX44" s="193">
        <f>IFERROR(AVERAGEIF(RD[[#This Row],[IS1POA1 (KWh/m2)]:[IS7POA2 (KWh/m2)]],"&lt;&gt;0",RD[[#This Row],[IS1POA1 (KWh/m2)]:[IS7POA2 (KWh/m2)]]),"")</f>
        <v>6.8324999999999996</v>
      </c>
      <c r="CY44" s="193">
        <f>IFERROR(AVERAGEIF(RD[[#This Row],[IS1GHI1 (KWh/m2)]:[IS7GHI2 (KWh/m2)]],"&lt;&gt;0",RD[[#This Row],[IS1GHI1 (KWh/m2)]:[IS7GHI2 (KWh/m2)]]),"")</f>
        <v>6.9249999999999998</v>
      </c>
      <c r="CZ44" s="193">
        <f>IFERROR(AVERAGEIF(RD[[#This Row],[IS1POA_BS1 (KWh/m2)]:[IS7POA_BS2 (KWh/m2)]],"&lt;&gt;0",RD[[#This Row],[IS1POA_BS1 (KWh/m2)]:[IS7POA_BS2 (KWh/m2)]]),"")</f>
        <v>0.95550000000000002</v>
      </c>
      <c r="DA44" s="193">
        <f>IFERROR(AVERAGEIF(RD[[#This Row],[IS1GHI_BS1 (KWh/m2)]:[IS1GHI_BS1 (KWh/m2)2]],"&lt;&gt;0",RD[[#This Row],[IS1GHI_BS1 (KWh/m2)]:[IS1GHI_BS1 (KWh/m2)2]]),"")</f>
        <v>1.198</v>
      </c>
      <c r="DB44" s="193">
        <f>IFERROR(AVERAGEIF(RD[[#This Row],[IS1AT1 (°C)]:[IS7AT2 (°C)]],"&lt;&gt;0",RD[[#This Row],[IS1AT1 (°C)]:[IS7AT2 (°C)]]),"")</f>
        <v>26.634</v>
      </c>
      <c r="DC44" s="193">
        <f>IFERROR(AVERAGEIF(RD[[#This Row],[IS1MT1 (°C)]:[IS7MT2 (°C)]],"&lt;&gt;0",RD[[#This Row],[IS1MT1 (°C)]:[IS7MT2 (°C)]]),"")</f>
        <v>39.819499999999998</v>
      </c>
      <c r="DD44" s="193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193">
        <f>IFERROR(AVERAGEIF(RD[[#This Row],[WS_Solar1_Avg (m/s)]:[IS7_WS_Solar1_Avg (m/s)]],"&lt;&gt;0",RD[[#This Row],[WS_Solar1_Avg (m/s)]:[IS7_WS_Solar1_Avg (m/s)]]),"")</f>
        <v>1.1695</v>
      </c>
      <c r="DG44" s="193">
        <f>IFERROR(AVERAGEIF(RD[[#This Row],[WS_Solar1_Max (m/s)]:[IS7_WS_Solar1_Max (m/s)]],"&lt;&gt;0",RD[[#This Row],[WS_Solar1_Max (m/s)]:[IS7_WS_Solar1_Max (m/s)]]),"")</f>
        <v>4.1549999999999994</v>
      </c>
      <c r="DH44" s="193">
        <f>SUM(RD[[#This Row],[IS1Inv1M1]:[IS4Inv4M2]])</f>
        <v>284493</v>
      </c>
      <c r="DI44" s="194">
        <f>SUM(RD[[#This Row],[IS7Inv1M1]]+RD[[#This Row],[IS7Inv2M1]])</f>
        <v>17358</v>
      </c>
      <c r="DJ44" s="193">
        <f>SUM(RD[[#This Row],[IS5Inv1M1]:[IS5Inv2M2]])</f>
        <v>43291</v>
      </c>
      <c r="DK44" s="193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75">
        <f>SUM(RD[[#This Row],[IS12Inv1M1]:[IS12Inv1M4]])</f>
        <v>30412</v>
      </c>
      <c r="DO44" s="275">
        <f>SUM(RD[[#This Row],[IS13Inv1M1]:[IS13Inv2M2]])</f>
        <v>13854</v>
      </c>
      <c r="DP44" s="193">
        <f>SUM(RD[[#This Row],[O2R15]:[O2R26]])</f>
        <v>627970</v>
      </c>
      <c r="DQ44" s="158">
        <v>39160.199999999997</v>
      </c>
      <c r="DR44" s="162">
        <v>207.2</v>
      </c>
      <c r="DS44" s="158">
        <v>33810</v>
      </c>
      <c r="DT44" s="158">
        <v>219.6</v>
      </c>
      <c r="DU44" s="162">
        <v>39187.4</v>
      </c>
      <c r="DV44" s="162">
        <v>393.8</v>
      </c>
      <c r="DW44" s="158">
        <v>7097.3</v>
      </c>
      <c r="DX44" s="162">
        <v>31.4</v>
      </c>
      <c r="DY44" s="162"/>
      <c r="DZ44" s="162"/>
      <c r="EA44" s="134">
        <v>92.3</v>
      </c>
      <c r="EB44" s="230">
        <v>122570506</v>
      </c>
      <c r="EC44" s="229">
        <v>909515.26399999997</v>
      </c>
      <c r="ED44" s="230">
        <v>1090</v>
      </c>
      <c r="EE44" s="230">
        <v>116882</v>
      </c>
      <c r="EF44" s="158">
        <v>169996.2</v>
      </c>
      <c r="EG44" s="158">
        <v>1788.5</v>
      </c>
      <c r="EH44" s="140">
        <f>IF((RD[[#This Row],[33 kV_F3_Ex
Incomer1]]-DQ43)*1000&lt;0,0,(RD[[#This Row],[33 kV_F3_Ex
Incomer1]]-DQ43)*1000)</f>
        <v>143199.99999999709</v>
      </c>
      <c r="EI44" s="140">
        <f>IF((RD[[#This Row],[34 kV_F3_Im
Incomer1]]-DR43)*1000&lt;0,0,(RD[[#This Row],[34 kV_F3_Im
Incomer1]]-DR43)*1000)</f>
        <v>199.99999999998863</v>
      </c>
      <c r="EJ44" s="140">
        <f>IF((RD[[#This Row],[33 kV_F4_Ex
Incomer2]]-DS43)*1000&lt;0,0,(RD[[#This Row],[33 kV_F4_Ex
Incomer2]]-DS43)*1000)</f>
        <v>136099.99999999854</v>
      </c>
      <c r="EK44" s="140">
        <f>IF((RD[[#This Row],[34 kV_F4_Im
Incomer2]]-DT43)*1000&lt;0,0,(RD[[#This Row],[34 kV_F4_Im
Incomer2]]-DT43)*1000)</f>
        <v>400.00000000000568</v>
      </c>
      <c r="EL44" s="140">
        <f>IF((RD[[#This Row],[33 kV_F5_Ex
Incomer3]]-DU43)*1000&lt;0,0,(RD[[#This Row],[33 kV_F5_Ex
Incomer3]]-DU43)*1000)</f>
        <v>173599.99999999854</v>
      </c>
      <c r="EM44" s="140">
        <f>IF((RD[[#This Row],[34 kV_F5_Im
Incomer3]]-DV43)*1000&lt;0,0,(RD[[#This Row],[34 kV_F5_Im
Incomer3]]-DV43)*1000)</f>
        <v>100.00000000002274</v>
      </c>
      <c r="EN44" s="140">
        <f>IF((RD[[#This Row],[33 kV_F6_Ex
Incomer4]]-DW43)*1000&lt;0,0,(RD[[#This Row],[33 kV_F6_Ex
Incomer4]]-DW43)*1000)</f>
        <v>165100.00000000035</v>
      </c>
      <c r="EO44" s="140">
        <f>IF((RD[[#This Row],[33 kV_F6_Im
Incomer4]]-DX43)*1000&lt;0,0,(RD[[#This Row],[33 kV_F6_Im
Incomer4]]-DX43)*1000)</f>
        <v>99.999999999997868</v>
      </c>
      <c r="EP44" s="140">
        <f>IF((RD[[#This Row],[33 kV_F7_Ex
Incomer5]]-DY43)*1000&lt;0,0,(RD[[#This Row],[33 kV_F7_Ex
Incomer5]]-DY43)*1000)</f>
        <v>0</v>
      </c>
      <c r="EQ44" s="140">
        <f>IF((RD[[#This Row],[33 kV_F7_Im
Incomer5]]-DZ43)*1000&lt;0,0,(RD[[#This Row],[33 kV_F7_Im
Incomer5]]-DZ43)*1000)</f>
        <v>0</v>
      </c>
      <c r="ER44" s="140">
        <f>IF((RD[[#This Row],[33 kV_Aux Trafo]]-EA43)*1000&lt;0,0,(RD[[#This Row],[33 kV_Aux Trafo]]-EA43)*1000)</f>
        <v>259.99999999999091</v>
      </c>
      <c r="ES44" s="152">
        <f>IF((RD[[#This Row],[33kV_OG1_Ex_]]-EB43)*1&lt;0,0,(RD[[#This Row],[33kV_OG1_Ex_]]-EB43)*1)</f>
        <v>618554</v>
      </c>
      <c r="ET44" s="140">
        <f>IF((RD[[#This Row],[33kV_OG1_Im]]-EC43)*1&lt;0,0,(RD[[#This Row],[33kV_OG1_Im]]-EC43)*1)</f>
        <v>961.08799999998882</v>
      </c>
      <c r="EU44" s="140">
        <f>IF((RD[[#This Row],[132kV_TX1_EX]]-ED43)*720&lt;=0,"",(RD[[#This Row],[132kV_TX1_EX]]-ED43)*720)</f>
        <v>720</v>
      </c>
      <c r="EV44" s="140">
        <f>IF((RD[[#This Row],[132 kV_Tx1_Im]]-EE43)*720&lt;=0,0,(RD[[#This Row],[132 kV_Tx1_Im]]-EE43)*720)</f>
        <v>443520</v>
      </c>
      <c r="EW44" s="140">
        <f>IF((RD[[#This Row],[132kV_L1_Ex]]-EF43)*720&lt;=0,0,(RD[[#This Row],[132kV_L1_Ex]]-EF43)*720)</f>
        <v>616392.00000000419</v>
      </c>
      <c r="EX44" s="140">
        <f>IF((RD[[#This Row],[132kV_L1_Im]]-EG43)*720&lt;=0,0,(RD[[#This Row],[132kV_L1_Im]]-EG43)*720)</f>
        <v>1655.9999999999673</v>
      </c>
      <c r="EY44" s="231">
        <f>IFERROR(RD[[#This Row],[33kV_OG1_Ex (MWh)]]+RD[[#This Row],[33kV_OG1_Im (MWh)]],"")</f>
        <v>619515.08799999999</v>
      </c>
      <c r="EZ44" s="142">
        <f>RD[[#This Row],[33kV_OG1_Ex (MWh)]]-RD[[#This Row],[33kV_OG1_Im (MWh)]]</f>
        <v>617592.91200000001</v>
      </c>
      <c r="FA44" s="142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32">
        <f>IFERROR((RD[[#This Row],[Sunset Time (POA&lt;20 W/m2)]]-RD[[#This Row],[Sunrise Time (POA&gt;20 W/m2)]])*24,0)</f>
        <v>12.416666666666668</v>
      </c>
      <c r="FD44" s="233">
        <v>106</v>
      </c>
      <c r="FE44" t="s">
        <v>265</v>
      </c>
      <c r="FG44" s="138" t="str">
        <f>IFERROR(RD[[#This Row],[E_AC (WPR)]]/RD[[#This Row],[E_DC (WPR)]],"")</f>
        <v/>
      </c>
    </row>
    <row r="45" spans="1:163">
      <c r="A45" s="130">
        <f t="shared" si="157"/>
        <v>45785</v>
      </c>
      <c r="B45" s="132">
        <f>YEAR(RD[[#This Row],[Date]])+IF(MONTH(RD[[#This Row],[Date]])&gt;=4,1,0)</f>
        <v>2026</v>
      </c>
      <c r="C45" s="132">
        <f>YEAR(RD[[#This Row],[Date]])</f>
        <v>2025</v>
      </c>
      <c r="D45" s="133">
        <f t="shared" si="158"/>
        <v>45778</v>
      </c>
      <c r="E45" s="132">
        <f>DAY(EOMONTH(RD[[#This Row],[Date]],0))</f>
        <v>31</v>
      </c>
      <c r="F45" s="146">
        <v>0.27916666666666667</v>
      </c>
      <c r="G45" s="156">
        <v>0.76736111111111116</v>
      </c>
      <c r="H45" s="121">
        <v>4199.8999999999996</v>
      </c>
      <c r="I45" s="121">
        <v>4166.8999999999996</v>
      </c>
      <c r="J45" s="121">
        <v>3878.4</v>
      </c>
      <c r="K45" s="121">
        <v>3887.4</v>
      </c>
      <c r="L45" s="121">
        <v>4024</v>
      </c>
      <c r="M45" s="121">
        <v>4180</v>
      </c>
      <c r="N45" s="121">
        <v>3980.4</v>
      </c>
      <c r="O45" s="121">
        <v>4500.5</v>
      </c>
      <c r="P45" s="121">
        <v>4073</v>
      </c>
      <c r="Q45" s="121">
        <v>3984.4</v>
      </c>
      <c r="R45" s="121">
        <v>4161.2</v>
      </c>
      <c r="S45" s="121">
        <v>4157.6000000000004</v>
      </c>
      <c r="T45" s="121">
        <v>4305.8</v>
      </c>
      <c r="U45" s="121">
        <v>4188.8999999999996</v>
      </c>
      <c r="V45" s="121">
        <v>4290.2</v>
      </c>
      <c r="W45" s="121">
        <v>4096.1000000000004</v>
      </c>
      <c r="X45" s="192">
        <v>5806.2</v>
      </c>
      <c r="Y45" s="192">
        <v>6561.3</v>
      </c>
      <c r="Z45" s="192">
        <v>5625.3</v>
      </c>
      <c r="AA45" s="192">
        <v>5882.7</v>
      </c>
      <c r="AB45" s="192">
        <v>6411.4</v>
      </c>
      <c r="AC45" s="192">
        <v>3910</v>
      </c>
      <c r="AD45" s="192">
        <v>5826.2</v>
      </c>
      <c r="AE45" s="192">
        <v>5911.9</v>
      </c>
      <c r="AF45" s="192">
        <v>5757.6</v>
      </c>
      <c r="AG45" s="192">
        <v>5663</v>
      </c>
      <c r="AH45" s="192">
        <v>5759.5</v>
      </c>
      <c r="AI45" s="192">
        <v>5804</v>
      </c>
      <c r="AJ45" s="136">
        <v>4643.8999999999996</v>
      </c>
      <c r="AK45" s="136">
        <v>4766.1000000000004</v>
      </c>
      <c r="AL45" s="136">
        <v>4609.1000000000004</v>
      </c>
      <c r="AM45" s="136">
        <v>4668</v>
      </c>
      <c r="AN45" s="136">
        <v>4633.5</v>
      </c>
      <c r="AO45" s="136">
        <v>4794</v>
      </c>
      <c r="AP45" s="136">
        <v>4709.2</v>
      </c>
      <c r="AQ45" s="136">
        <v>4669.8999999999996</v>
      </c>
      <c r="AR45" s="136">
        <v>3717.1</v>
      </c>
      <c r="AS45" s="136">
        <v>3753.5</v>
      </c>
      <c r="AT45" s="136">
        <v>3767</v>
      </c>
      <c r="AU45" s="136">
        <v>3733.6</v>
      </c>
      <c r="AV45" s="136">
        <v>3835.7</v>
      </c>
      <c r="AW45" s="136">
        <v>3699.1</v>
      </c>
      <c r="AX45" s="136">
        <v>11700</v>
      </c>
      <c r="AY45" s="136">
        <v>13054</v>
      </c>
      <c r="AZ45" s="136">
        <v>9537</v>
      </c>
      <c r="BA45" s="136">
        <v>11354</v>
      </c>
      <c r="BB45" s="136">
        <v>10428</v>
      </c>
      <c r="BC45" s="136">
        <v>8416</v>
      </c>
      <c r="BD45" s="136">
        <v>8246.7999999999993</v>
      </c>
      <c r="BE45" s="136">
        <v>11728.8</v>
      </c>
      <c r="BF45" s="136">
        <v>12168.3</v>
      </c>
      <c r="BG45" s="136">
        <v>12083.1</v>
      </c>
      <c r="BH45" s="136">
        <v>7292</v>
      </c>
      <c r="BI45" s="136">
        <v>4482.1000000000004</v>
      </c>
      <c r="BJ45" s="136">
        <v>7887</v>
      </c>
      <c r="BK45" s="136">
        <v>5586</v>
      </c>
      <c r="BL45" s="136">
        <v>7561</v>
      </c>
      <c r="BM45" s="136">
        <v>7036</v>
      </c>
      <c r="BN45" s="136">
        <v>7563</v>
      </c>
      <c r="BO45" s="136">
        <v>7968</v>
      </c>
      <c r="BP45" s="136">
        <v>7245</v>
      </c>
      <c r="BQ45" s="136">
        <v>4771</v>
      </c>
      <c r="BR45" s="136">
        <v>2742</v>
      </c>
      <c r="BS45" s="136">
        <v>1990</v>
      </c>
      <c r="BT45" s="136">
        <v>2631</v>
      </c>
      <c r="BU45" s="136">
        <v>964.1</v>
      </c>
      <c r="BV45" s="136"/>
      <c r="BW45" s="136"/>
      <c r="BX45" s="136"/>
      <c r="BY45" s="136"/>
      <c r="BZ45" s="136">
        <v>1318</v>
      </c>
      <c r="CA45" s="136">
        <v>1127</v>
      </c>
      <c r="CB45" s="136">
        <v>4697</v>
      </c>
      <c r="CC45" s="136">
        <v>8529</v>
      </c>
      <c r="CD45" s="59">
        <v>2.8943908666666673</v>
      </c>
      <c r="CE45" s="59">
        <v>2.7064875500000007</v>
      </c>
      <c r="CF45" s="195">
        <v>2.8900878666666698</v>
      </c>
      <c r="CG45" s="195">
        <v>0.3956199333333329</v>
      </c>
      <c r="CH45" s="195">
        <v>0.37743831666666677</v>
      </c>
      <c r="CI45" s="195">
        <v>2.7064875500000007</v>
      </c>
      <c r="CJ45" s="59">
        <v>0.55234044999999965</v>
      </c>
      <c r="CK45" s="59">
        <v>2.6991934333333329</v>
      </c>
      <c r="CL45" s="195">
        <v>27.222673350041759</v>
      </c>
      <c r="CM45" s="195">
        <v>27.146055045871606</v>
      </c>
      <c r="CN45" s="195">
        <v>37.965178780284049</v>
      </c>
      <c r="CO45" s="195">
        <v>35.352849874895803</v>
      </c>
      <c r="CP45" s="195">
        <v>53.543842940685067</v>
      </c>
      <c r="CQ45" s="195">
        <v>55.598523769808203</v>
      </c>
      <c r="CR45" s="59">
        <v>0</v>
      </c>
      <c r="CS45" s="59">
        <v>0</v>
      </c>
      <c r="CT45" s="195">
        <v>0.76298997493734388</v>
      </c>
      <c r="CU45" s="195">
        <v>0.77621184320266945</v>
      </c>
      <c r="CV45" s="195">
        <v>1.827</v>
      </c>
      <c r="CW45" s="247">
        <v>2.0489999999999999</v>
      </c>
      <c r="CX45" s="193">
        <f>IFERROR(AVERAGEIF(RD[[#This Row],[IS1POA1 (KWh/m2)]:[IS7POA2 (KWh/m2)]],"&lt;&gt;0",RD[[#This Row],[IS1POA1 (KWh/m2)]:[IS7POA2 (KWh/m2)]]),"")</f>
        <v>2.800439208333334</v>
      </c>
      <c r="CY45" s="193">
        <f>IFERROR(AVERAGEIF(RD[[#This Row],[IS1GHI1 (KWh/m2)]:[IS7GHI2 (KWh/m2)]],"&lt;&gt;0",RD[[#This Row],[IS1GHI1 (KWh/m2)]:[IS7GHI2 (KWh/m2)]]),"")</f>
        <v>1.6428539000000013</v>
      </c>
      <c r="CZ45" s="193">
        <f>IFERROR(AVERAGEIF(RD[[#This Row],[IS1POA_BS1 (KWh/m2)]:[IS7POA_BS2 (KWh/m2)]],"&lt;&gt;0",RD[[#This Row],[IS1POA_BS1 (KWh/m2)]:[IS7POA_BS2 (KWh/m2)]]),"")</f>
        <v>1.5419629333333338</v>
      </c>
      <c r="DA45" s="193">
        <f>IFERROR(AVERAGEIF(RD[[#This Row],[IS1GHI_BS1 (KWh/m2)]:[IS1GHI_BS1 (KWh/m2)2]],"&lt;&gt;0",RD[[#This Row],[IS1GHI_BS1 (KWh/m2)]:[IS1GHI_BS1 (KWh/m2)2]]),"")</f>
        <v>1.6257669416666662</v>
      </c>
      <c r="DB45" s="193">
        <f>IFERROR(AVERAGEIF(RD[[#This Row],[IS1AT1 (°C)]:[IS7AT2 (°C)]],"&lt;&gt;0",RD[[#This Row],[IS1AT1 (°C)]:[IS7AT2 (°C)]]),"")</f>
        <v>27.184364197956683</v>
      </c>
      <c r="DC45" s="193">
        <f>IFERROR(AVERAGEIF(RD[[#This Row],[IS1MT1 (°C)]:[IS7MT2 (°C)]],"&lt;&gt;0",RD[[#This Row],[IS1MT1 (°C)]:[IS7MT2 (°C)]]),"")</f>
        <v>36.659014327589929</v>
      </c>
      <c r="DD45" s="193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193">
        <f>IFERROR(AVERAGEIF(RD[[#This Row],[WS_Solar1_Avg (m/s)]:[IS7_WS_Solar1_Avg (m/s)]],"&lt;&gt;0",RD[[#This Row],[WS_Solar1_Avg (m/s)]:[IS7_WS_Solar1_Avg (m/s)]]),"")</f>
        <v>0.76960090907000667</v>
      </c>
      <c r="DG45" s="193">
        <f>IFERROR(AVERAGEIF(RD[[#This Row],[WS_Solar1_Max (m/s)]:[IS7_WS_Solar1_Max (m/s)]],"&lt;&gt;0",RD[[#This Row],[WS_Solar1_Max (m/s)]:[IS7_WS_Solar1_Max (m/s)]]),"")</f>
        <v>1.9379999999999999</v>
      </c>
      <c r="DH45" s="193">
        <f>SUM(RD[[#This Row],[IS1Inv1M1]:[IS4Inv4M2]])</f>
        <v>134993.79999999999</v>
      </c>
      <c r="DI45" s="194">
        <f>SUM(RD[[#This Row],[IS7Inv1M1]]+RD[[#This Row],[IS7Inv2M1]])</f>
        <v>7470.6</v>
      </c>
      <c r="DJ45" s="193">
        <f>SUM(RD[[#This Row],[IS5Inv1M1]:[IS5Inv2M2]])</f>
        <v>18687.099999999999</v>
      </c>
      <c r="DK45" s="193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75">
        <f>SUM(RD[[#This Row],[IS12Inv1M1]:[IS12Inv1M4]])</f>
        <v>27547</v>
      </c>
      <c r="DO45" s="275">
        <f>SUM(RD[[#This Row],[IS13Inv1M1]:[IS13Inv2M2]])</f>
        <v>8327.1</v>
      </c>
      <c r="DP45" s="193">
        <f>SUM(RD[[#This Row],[O2R15]:[O2R26]])</f>
        <v>395098.69999999995</v>
      </c>
      <c r="DQ45" s="158">
        <v>39228.9</v>
      </c>
      <c r="DR45" s="162">
        <v>207.6</v>
      </c>
      <c r="DS45" s="158">
        <v>33876.400000000001</v>
      </c>
      <c r="DT45" s="158">
        <v>220</v>
      </c>
      <c r="DU45" s="162">
        <v>39268.1</v>
      </c>
      <c r="DV45" s="162">
        <v>394.5</v>
      </c>
      <c r="DW45" s="158">
        <v>7179.6</v>
      </c>
      <c r="DX45" s="162">
        <v>32</v>
      </c>
      <c r="DY45" s="162"/>
      <c r="DZ45" s="162"/>
      <c r="EA45" s="134">
        <v>92.54</v>
      </c>
      <c r="EB45" s="230">
        <v>122867957</v>
      </c>
      <c r="EC45" s="229">
        <v>911764.73600000003</v>
      </c>
      <c r="ED45" s="230">
        <v>1093</v>
      </c>
      <c r="EE45" s="230">
        <v>117178</v>
      </c>
      <c r="EF45" s="158">
        <v>170407.9</v>
      </c>
      <c r="EG45" s="158">
        <v>1792.4</v>
      </c>
      <c r="EH45" s="140">
        <f>IF((RD[[#This Row],[33 kV_F3_Ex
Incomer1]]-DQ44)*1000&lt;0,0,(RD[[#This Row],[33 kV_F3_Ex
Incomer1]]-DQ44)*1000)</f>
        <v>68700.000000004366</v>
      </c>
      <c r="EI45" s="140">
        <f>IF((RD[[#This Row],[34 kV_F3_Im
Incomer1]]-DR44)*1000&lt;0,0,(RD[[#This Row],[34 kV_F3_Im
Incomer1]]-DR44)*1000)</f>
        <v>400.00000000000568</v>
      </c>
      <c r="EJ45" s="140">
        <f>IF((RD[[#This Row],[33 kV_F4_Ex
Incomer2]]-DS44)*1000&lt;0,0,(RD[[#This Row],[33 kV_F4_Ex
Incomer2]]-DS44)*1000)</f>
        <v>66400.000000001455</v>
      </c>
      <c r="EK45" s="140">
        <f>IF((RD[[#This Row],[34 kV_F4_Im
Incomer2]]-DT44)*1000&lt;0,0,(RD[[#This Row],[34 kV_F4_Im
Incomer2]]-DT44)*1000)</f>
        <v>400.00000000000568</v>
      </c>
      <c r="EL45" s="140">
        <f>IF((RD[[#This Row],[33 kV_F5_Ex
Incomer3]]-DU44)*1000&lt;0,0,(RD[[#This Row],[33 kV_F5_Ex
Incomer3]]-DU44)*1000)</f>
        <v>80699.99999999709</v>
      </c>
      <c r="EM45" s="140">
        <f>IF((RD[[#This Row],[34 kV_F5_Im
Incomer3]]-DV44)*1000&lt;0,0,(RD[[#This Row],[34 kV_F5_Im
Incomer3]]-DV44)*1000)</f>
        <v>699.99999999998863</v>
      </c>
      <c r="EN45" s="140">
        <f>IF((RD[[#This Row],[33 kV_F6_Ex
Incomer4]]-DW44)*1000&lt;0,0,(RD[[#This Row],[33 kV_F6_Ex
Incomer4]]-DW44)*1000)</f>
        <v>82300.000000000175</v>
      </c>
      <c r="EO45" s="140">
        <f>IF((RD[[#This Row],[33 kV_F6_Im
Incomer4]]-DX44)*1000&lt;0,0,(RD[[#This Row],[33 kV_F6_Im
Incomer4]]-DX44)*1000)</f>
        <v>600.00000000000136</v>
      </c>
      <c r="EP45" s="140">
        <f>IF((RD[[#This Row],[33 kV_F7_Ex
Incomer5]]-DY44)*1000&lt;0,0,(RD[[#This Row],[33 kV_F7_Ex
Incomer5]]-DY44)*1000)</f>
        <v>0</v>
      </c>
      <c r="EQ45" s="140">
        <f>IF((RD[[#This Row],[33 kV_F7_Im
Incomer5]]-DZ44)*1000&lt;0,0,(RD[[#This Row],[33 kV_F7_Im
Incomer5]]-DZ44)*1000)</f>
        <v>0</v>
      </c>
      <c r="ER45" s="140">
        <f>IF((RD[[#This Row],[33 kV_Aux Trafo]]-EA44)*1000&lt;0,0,(RD[[#This Row],[33 kV_Aux Trafo]]-EA44)*1000)</f>
        <v>240.00000000000909</v>
      </c>
      <c r="ES45" s="152">
        <f>IF((RD[[#This Row],[33kV_OG1_Ex_]]-EB44)*1&lt;0,0,(RD[[#This Row],[33kV_OG1_Ex_]]-EB44)*1)</f>
        <v>297451</v>
      </c>
      <c r="ET45" s="140">
        <f>IF((RD[[#This Row],[33kV_OG1_Im]]-EC44)*1&lt;0,0,(RD[[#This Row],[33kV_OG1_Im]]-EC44)*1)</f>
        <v>2249.4720000000671</v>
      </c>
      <c r="EU45" s="140">
        <f>IF((RD[[#This Row],[132kV_TX1_EX]]-ED44)*720&lt;=0,"",(RD[[#This Row],[132kV_TX1_EX]]-ED44)*720)</f>
        <v>2160</v>
      </c>
      <c r="EV45" s="140">
        <f>IF((RD[[#This Row],[132 kV_Tx1_Im]]-EE44)*720&lt;=0,0,(RD[[#This Row],[132 kV_Tx1_Im]]-EE44)*720)</f>
        <v>213120</v>
      </c>
      <c r="EW45" s="140">
        <f>IF((RD[[#This Row],[132kV_L1_Ex]]-EF44)*720&lt;=0,0,(RD[[#This Row],[132kV_L1_Ex]]-EF44)*720)</f>
        <v>296423.99999998743</v>
      </c>
      <c r="EX45" s="140">
        <f>IF((RD[[#This Row],[132kV_L1_Im]]-EG44)*720&lt;=0,0,(RD[[#This Row],[132kV_L1_Im]]-EG44)*720)</f>
        <v>2808.0000000000655</v>
      </c>
      <c r="EY45" s="231">
        <f>IFERROR(RD[[#This Row],[33kV_OG1_Ex (MWh)]]+RD[[#This Row],[33kV_OG1_Im (MWh)]],"")</f>
        <v>299700.47200000007</v>
      </c>
      <c r="EZ45" s="142">
        <f>RD[[#This Row],[33kV_OG1_Ex (MWh)]]-RD[[#This Row],[33kV_OG1_Im (MWh)]]</f>
        <v>295201.52799999993</v>
      </c>
      <c r="FA45" s="142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32">
        <f>IFERROR((RD[[#This Row],[Sunset Time (POA&lt;20 W/m2)]]-RD[[#This Row],[Sunrise Time (POA&gt;20 W/m2)]])*24,0)</f>
        <v>11.716666666666669</v>
      </c>
      <c r="FD45" s="233">
        <v>111</v>
      </c>
      <c r="FE45" t="s">
        <v>279</v>
      </c>
      <c r="FG45" s="138" t="str">
        <f>IFERROR(RD[[#This Row],[E_AC (WPR)]]/RD[[#This Row],[E_DC (WPR)]],"")</f>
        <v/>
      </c>
    </row>
    <row r="46" spans="1:163">
      <c r="A46" s="130">
        <f t="shared" si="157"/>
        <v>45786</v>
      </c>
      <c r="B46" s="132">
        <f>YEAR(RD[[#This Row],[Date]])+IF(MONTH(RD[[#This Row],[Date]])&gt;=4,1,0)</f>
        <v>2026</v>
      </c>
      <c r="C46" s="132">
        <f>YEAR(RD[[#This Row],[Date]])</f>
        <v>2025</v>
      </c>
      <c r="D46" s="133">
        <f t="shared" si="158"/>
        <v>45778</v>
      </c>
      <c r="E46" s="132">
        <f>DAY(EOMONTH(RD[[#This Row],[Date]],0))</f>
        <v>31</v>
      </c>
      <c r="F46" s="146">
        <v>0.25694444444444442</v>
      </c>
      <c r="G46" s="156">
        <v>0.77083333333333337</v>
      </c>
      <c r="H46" s="121">
        <v>7936.5</v>
      </c>
      <c r="I46" s="121">
        <v>7902.1</v>
      </c>
      <c r="J46" s="121">
        <v>7513.3</v>
      </c>
      <c r="K46" s="121">
        <v>7523.4</v>
      </c>
      <c r="L46" s="121">
        <v>7712.1</v>
      </c>
      <c r="M46" s="121">
        <v>7942.9</v>
      </c>
      <c r="N46" s="121">
        <v>7690.3</v>
      </c>
      <c r="O46" s="121">
        <v>8358.2999999999993</v>
      </c>
      <c r="P46" s="121">
        <v>7771.4</v>
      </c>
      <c r="Q46" s="121">
        <v>7680.4</v>
      </c>
      <c r="R46" s="121">
        <v>8021</v>
      </c>
      <c r="S46" s="121">
        <v>7996.7</v>
      </c>
      <c r="T46" s="121">
        <v>8221.7999999999993</v>
      </c>
      <c r="U46" s="121">
        <v>8114.8</v>
      </c>
      <c r="V46" s="121">
        <v>8158.6</v>
      </c>
      <c r="W46" s="121">
        <v>7863.1</v>
      </c>
      <c r="X46" s="192">
        <v>11176.9</v>
      </c>
      <c r="Y46" s="192">
        <v>11969.5</v>
      </c>
      <c r="Z46" s="192">
        <v>10812.3</v>
      </c>
      <c r="AA46" s="192">
        <v>11177.2</v>
      </c>
      <c r="AB46" s="192">
        <v>11700.4</v>
      </c>
      <c r="AC46" s="192">
        <v>7362.7</v>
      </c>
      <c r="AD46" s="192">
        <v>10993</v>
      </c>
      <c r="AE46" s="192">
        <v>11382.3</v>
      </c>
      <c r="AF46" s="192">
        <v>10975.5</v>
      </c>
      <c r="AG46" s="192">
        <v>10934</v>
      </c>
      <c r="AH46" s="192">
        <v>11012.4</v>
      </c>
      <c r="AI46" s="192">
        <v>11276.1</v>
      </c>
      <c r="AJ46" s="136">
        <v>9147.7000000000007</v>
      </c>
      <c r="AK46" s="136">
        <v>9353.9</v>
      </c>
      <c r="AL46" s="136">
        <v>9164.6</v>
      </c>
      <c r="AM46" s="136">
        <v>9341.7000000000007</v>
      </c>
      <c r="AN46" s="136">
        <v>9220.2999999999993</v>
      </c>
      <c r="AO46" s="136">
        <v>9570.7000000000007</v>
      </c>
      <c r="AP46" s="136">
        <v>9355.7000000000007</v>
      </c>
      <c r="AQ46" s="136">
        <v>9302.9</v>
      </c>
      <c r="AR46" s="136">
        <v>7467.2</v>
      </c>
      <c r="AS46" s="136">
        <v>7573.6</v>
      </c>
      <c r="AT46" s="136">
        <v>7557.6</v>
      </c>
      <c r="AU46" s="136">
        <v>7535.4</v>
      </c>
      <c r="AV46" s="136">
        <v>7708</v>
      </c>
      <c r="AW46" s="136">
        <v>7477.8</v>
      </c>
      <c r="AX46" s="136">
        <v>10618</v>
      </c>
      <c r="AY46" s="136">
        <v>11660</v>
      </c>
      <c r="AZ46" s="136">
        <v>8812</v>
      </c>
      <c r="BA46" s="136">
        <v>10634</v>
      </c>
      <c r="BB46" s="136">
        <v>10621</v>
      </c>
      <c r="BC46" s="136">
        <v>8996</v>
      </c>
      <c r="BD46" s="136">
        <v>7428</v>
      </c>
      <c r="BE46" s="136">
        <v>10148</v>
      </c>
      <c r="BF46" s="136">
        <v>10791</v>
      </c>
      <c r="BG46" s="136">
        <v>10780</v>
      </c>
      <c r="BH46" s="136">
        <v>6444</v>
      </c>
      <c r="BI46" s="136">
        <v>4120</v>
      </c>
      <c r="BJ46" s="136">
        <v>7345</v>
      </c>
      <c r="BK46" s="136">
        <v>5290</v>
      </c>
      <c r="BL46" s="136">
        <v>6980</v>
      </c>
      <c r="BM46" s="136">
        <v>6836</v>
      </c>
      <c r="BN46" s="136">
        <v>7108</v>
      </c>
      <c r="BO46" s="136">
        <v>6890</v>
      </c>
      <c r="BP46" s="136">
        <v>7332</v>
      </c>
      <c r="BQ46" s="136">
        <v>6656</v>
      </c>
      <c r="BR46" s="136">
        <v>6871</v>
      </c>
      <c r="BS46" s="136">
        <v>3052</v>
      </c>
      <c r="BT46" s="136">
        <v>2731</v>
      </c>
      <c r="BU46" s="136">
        <v>1587</v>
      </c>
      <c r="BV46" s="136"/>
      <c r="BW46" s="136"/>
      <c r="BX46" s="136"/>
      <c r="BY46" s="136"/>
      <c r="BZ46" s="136">
        <v>1173</v>
      </c>
      <c r="CA46" s="136">
        <v>984</v>
      </c>
      <c r="CB46" s="136">
        <v>4206</v>
      </c>
      <c r="CC46" s="136">
        <v>7468</v>
      </c>
      <c r="CD46" s="59">
        <v>6.6069165166666721</v>
      </c>
      <c r="CE46" s="59">
        <v>6.1783353333333384</v>
      </c>
      <c r="CF46" s="195">
        <v>6.7839831999999971</v>
      </c>
      <c r="CG46" s="195">
        <v>6.2100607166666721</v>
      </c>
      <c r="CH46" s="195">
        <v>0.89711423333333407</v>
      </c>
      <c r="CI46" s="195">
        <v>0.92602863333333318</v>
      </c>
      <c r="CJ46" s="59">
        <v>1.3424037833333324</v>
      </c>
      <c r="CK46" s="59">
        <v>6.2100607166666721</v>
      </c>
      <c r="CL46" s="195">
        <v>30.201518367346988</v>
      </c>
      <c r="CM46" s="195">
        <v>30.277938741721844</v>
      </c>
      <c r="CN46" s="195">
        <v>45.574770612244855</v>
      </c>
      <c r="CO46" s="195">
        <v>42.863171357615883</v>
      </c>
      <c r="CP46" s="195">
        <v>52.364457142857169</v>
      </c>
      <c r="CQ46" s="195">
        <v>53.28491721854288</v>
      </c>
      <c r="CR46" s="59">
        <v>0</v>
      </c>
      <c r="CS46" s="59">
        <v>0</v>
      </c>
      <c r="CT46" s="195">
        <v>0.86715428571428621</v>
      </c>
      <c r="CU46" s="195">
        <v>0.93809850993377419</v>
      </c>
      <c r="CV46" s="195">
        <v>2.625</v>
      </c>
      <c r="CW46" s="247">
        <v>2.706</v>
      </c>
      <c r="CX46" s="193">
        <f>IFERROR(AVERAGEIF(RD[[#This Row],[IS1POA1 (KWh/m2)]:[IS7POA2 (KWh/m2)]],"&lt;&gt;0",RD[[#This Row],[IS1POA1 (KWh/m2)]:[IS7POA2 (KWh/m2)]]),"")</f>
        <v>6.3926259250000053</v>
      </c>
      <c r="CY46" s="193">
        <f>IFERROR(AVERAGEIF(RD[[#This Row],[IS1GHI1 (KWh/m2)]:[IS7GHI2 (KWh/m2)]],"&lt;&gt;0",RD[[#This Row],[IS1GHI1 (KWh/m2)]:[IS7GHI2 (KWh/m2)]]),"")</f>
        <v>6.4970219583333346</v>
      </c>
      <c r="CZ46" s="193">
        <f>IFERROR(AVERAGEIF(RD[[#This Row],[IS1POA_BS1 (KWh/m2)]:[IS7POA_BS2 (KWh/m2)]],"&lt;&gt;0",RD[[#This Row],[IS1POA_BS1 (KWh/m2)]:[IS7POA_BS2 (KWh/m2)]]),"")</f>
        <v>0.91157143333333357</v>
      </c>
      <c r="DA46" s="193">
        <f>IFERROR(AVERAGEIF(RD[[#This Row],[IS1GHI_BS1 (KWh/m2)]:[IS1GHI_BS1 (KWh/m2)2]],"&lt;&gt;0",RD[[#This Row],[IS1GHI_BS1 (KWh/m2)]:[IS1GHI_BS1 (KWh/m2)2]]),"")</f>
        <v>3.7762322500000023</v>
      </c>
      <c r="DB46" s="193">
        <f>IFERROR(AVERAGEIF(RD[[#This Row],[IS1AT1 (°C)]:[IS7AT2 (°C)]],"&lt;&gt;0",RD[[#This Row],[IS1AT1 (°C)]:[IS7AT2 (°C)]]),"")</f>
        <v>30.239728554534416</v>
      </c>
      <c r="DC46" s="193">
        <f>IFERROR(AVERAGEIF(RD[[#This Row],[IS1MT1 (°C)]:[IS7MT2 (°C)]],"&lt;&gt;0",RD[[#This Row],[IS1MT1 (°C)]:[IS7MT2 (°C)]]),"")</f>
        <v>44.218970984930365</v>
      </c>
      <c r="DD46" s="193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193">
        <f>IFERROR(AVERAGEIF(RD[[#This Row],[WS_Solar1_Avg (m/s)]:[IS7_WS_Solar1_Avg (m/s)]],"&lt;&gt;0",RD[[#This Row],[WS_Solar1_Avg (m/s)]:[IS7_WS_Solar1_Avg (m/s)]]),"")</f>
        <v>0.9026263978240302</v>
      </c>
      <c r="DG46" s="193">
        <f>IFERROR(AVERAGEIF(RD[[#This Row],[WS_Solar1_Max (m/s)]:[IS7_WS_Solar1_Max (m/s)]],"&lt;&gt;0",RD[[#This Row],[WS_Solar1_Max (m/s)]:[IS7_WS_Solar1_Max (m/s)]]),"")</f>
        <v>2.6654999999999998</v>
      </c>
      <c r="DH46" s="193">
        <f>SUM(RD[[#This Row],[IS1Inv1M1]:[IS4Inv4M2]])</f>
        <v>257179</v>
      </c>
      <c r="DI46" s="194">
        <f>SUM(RD[[#This Row],[IS7Inv1M1]]+RD[[#This Row],[IS7Inv2M1]])</f>
        <v>15040.8</v>
      </c>
      <c r="DJ46" s="193">
        <f>SUM(RD[[#This Row],[IS5Inv1M1]:[IS5Inv2M2]])</f>
        <v>37007.899999999994</v>
      </c>
      <c r="DK46" s="193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75">
        <f>SUM(RD[[#This Row],[IS12Inv1M1]:[IS12Inv1M4]])</f>
        <v>27986</v>
      </c>
      <c r="DO46" s="275">
        <f>SUM(RD[[#This Row],[IS13Inv1M1]:[IS13Inv2M2]])</f>
        <v>14241</v>
      </c>
      <c r="DP46" s="193">
        <f>SUM(RD[[#This Row],[O2R15]:[O2R26]])</f>
        <v>570517.09999999986</v>
      </c>
      <c r="DQ46" s="158">
        <v>39358.699999999997</v>
      </c>
      <c r="DR46" s="162">
        <v>208</v>
      </c>
      <c r="DS46" s="158">
        <v>33992.300000000003</v>
      </c>
      <c r="DT46" s="158">
        <v>220.3</v>
      </c>
      <c r="DU46" s="162">
        <v>39427.300000000003</v>
      </c>
      <c r="DV46" s="162">
        <v>395.1</v>
      </c>
      <c r="DW46" s="158">
        <v>7328.5</v>
      </c>
      <c r="DX46" s="162">
        <v>32.299999999999997</v>
      </c>
      <c r="DY46" s="162"/>
      <c r="DZ46" s="162"/>
      <c r="EA46" s="134">
        <v>92.81</v>
      </c>
      <c r="EB46" s="230">
        <v>123429380</v>
      </c>
      <c r="EC46" s="229">
        <v>913647.61600000004</v>
      </c>
      <c r="ED46" s="230">
        <v>1096</v>
      </c>
      <c r="EE46" s="230">
        <v>117737</v>
      </c>
      <c r="EF46" s="158">
        <v>171185</v>
      </c>
      <c r="EG46" s="158">
        <v>1795.8</v>
      </c>
      <c r="EH46" s="140">
        <f>IF((RD[[#This Row],[33 kV_F3_Ex
Incomer1]]-DQ45)*1000&lt;0,0,(RD[[#This Row],[33 kV_F3_Ex
Incomer1]]-DQ45)*1000)</f>
        <v>129799.99999999563</v>
      </c>
      <c r="EI46" s="140">
        <f>IF((RD[[#This Row],[34 kV_F3_Im
Incomer1]]-DR45)*1000&lt;0,0,(RD[[#This Row],[34 kV_F3_Im
Incomer1]]-DR45)*1000)</f>
        <v>400.00000000000568</v>
      </c>
      <c r="EJ46" s="140">
        <f>IF((RD[[#This Row],[33 kV_F4_Ex
Incomer2]]-DS45)*1000&lt;0,0,(RD[[#This Row],[33 kV_F4_Ex
Incomer2]]-DS45)*1000)</f>
        <v>115900.00000000146</v>
      </c>
      <c r="EK46" s="140">
        <f>IF((RD[[#This Row],[34 kV_F4_Im
Incomer2]]-DT45)*1000&lt;0,0,(RD[[#This Row],[34 kV_F4_Im
Incomer2]]-DT45)*1000)</f>
        <v>300.00000000001137</v>
      </c>
      <c r="EL46" s="140">
        <f>IF((RD[[#This Row],[33 kV_F5_Ex
Incomer3]]-DU45)*1000&lt;0,0,(RD[[#This Row],[33 kV_F5_Ex
Incomer3]]-DU45)*1000)</f>
        <v>159200.00000000437</v>
      </c>
      <c r="EM46" s="140">
        <f>IF((RD[[#This Row],[34 kV_F5_Im
Incomer3]]-DV45)*1000&lt;0,0,(RD[[#This Row],[34 kV_F5_Im
Incomer3]]-DV45)*1000)</f>
        <v>600.00000000002274</v>
      </c>
      <c r="EN46" s="140">
        <f>IF((RD[[#This Row],[33 kV_F6_Ex
Incomer4]]-DW45)*1000&lt;0,0,(RD[[#This Row],[33 kV_F6_Ex
Incomer4]]-DW45)*1000)</f>
        <v>148899.99999999965</v>
      </c>
      <c r="EO46" s="140">
        <f>IF((RD[[#This Row],[33 kV_F6_Im
Incomer4]]-DX45)*1000&lt;0,0,(RD[[#This Row],[33 kV_F6_Im
Incomer4]]-DX45)*1000)</f>
        <v>299.99999999999716</v>
      </c>
      <c r="EP46" s="140">
        <f>IF((RD[[#This Row],[33 kV_F7_Ex
Incomer5]]-DY45)*1000&lt;0,0,(RD[[#This Row],[33 kV_F7_Ex
Incomer5]]-DY45)*1000)</f>
        <v>0</v>
      </c>
      <c r="EQ46" s="140">
        <f>IF((RD[[#This Row],[33 kV_F7_Im
Incomer5]]-DZ45)*1000&lt;0,0,(RD[[#This Row],[33 kV_F7_Im
Incomer5]]-DZ45)*1000)</f>
        <v>0</v>
      </c>
      <c r="ER46" s="140">
        <f>IF((RD[[#This Row],[33 kV_Aux Trafo]]-EA45)*1000&lt;0,0,(RD[[#This Row],[33 kV_Aux Trafo]]-EA45)*1000)</f>
        <v>269.99999999999602</v>
      </c>
      <c r="ES46" s="152">
        <f>IF((RD[[#This Row],[33kV_OG1_Ex_]]-EB45)*1&lt;0,0,(RD[[#This Row],[33kV_OG1_Ex_]]-EB45)*1)</f>
        <v>561423</v>
      </c>
      <c r="ET46" s="140">
        <f>IF((RD[[#This Row],[33kV_OG1_Im]]-EC45)*1&lt;0,0,(RD[[#This Row],[33kV_OG1_Im]]-EC45)*1)</f>
        <v>1882.8800000000047</v>
      </c>
      <c r="EU46" s="140">
        <f>IF((RD[[#This Row],[132kV_TX1_EX]]-ED45)*720&lt;=0,"",(RD[[#This Row],[132kV_TX1_EX]]-ED45)*720)</f>
        <v>2160</v>
      </c>
      <c r="EV46" s="140">
        <f>IF((RD[[#This Row],[132 kV_Tx1_Im]]-EE45)*720&lt;=0,0,(RD[[#This Row],[132 kV_Tx1_Im]]-EE45)*720)</f>
        <v>402480</v>
      </c>
      <c r="EW46" s="140">
        <f>IF((RD[[#This Row],[132kV_L1_Ex]]-EF45)*720&lt;=0,0,(RD[[#This Row],[132kV_L1_Ex]]-EF45)*720)</f>
        <v>559512.00000000419</v>
      </c>
      <c r="EX46" s="140">
        <f>IF((RD[[#This Row],[132kV_L1_Im]]-EG45)*720&lt;=0,0,(RD[[#This Row],[132kV_L1_Im]]-EG45)*720)</f>
        <v>2447.9999999999018</v>
      </c>
      <c r="EY46" s="231">
        <f>IFERROR(RD[[#This Row],[33kV_OG1_Ex (MWh)]]+RD[[#This Row],[33kV_OG1_Im (MWh)]],"")</f>
        <v>563305.88</v>
      </c>
      <c r="EZ46" s="142">
        <f>RD[[#This Row],[33kV_OG1_Ex (MWh)]]-RD[[#This Row],[33kV_OG1_Im (MWh)]]</f>
        <v>559540.12</v>
      </c>
      <c r="FA46" s="142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32">
        <f>IFERROR((RD[[#This Row],[Sunset Time (POA&lt;20 W/m2)]]-RD[[#This Row],[Sunrise Time (POA&gt;20 W/m2)]])*24,0)</f>
        <v>12.333333333333336</v>
      </c>
      <c r="FD46" s="233">
        <v>111</v>
      </c>
      <c r="FE46" t="s">
        <v>280</v>
      </c>
      <c r="FG46" s="138" t="str">
        <f>IFERROR(RD[[#This Row],[E_AC (WPR)]]/RD[[#This Row],[E_DC (WPR)]],"")</f>
        <v/>
      </c>
    </row>
    <row r="47" spans="1:163">
      <c r="A47" s="130">
        <f t="shared" si="157"/>
        <v>45787</v>
      </c>
      <c r="B47" s="132">
        <f>YEAR(RD[[#This Row],[Date]])+IF(MONTH(RD[[#This Row],[Date]])&gt;=4,1,0)</f>
        <v>2026</v>
      </c>
      <c r="C47" s="132">
        <f>YEAR(RD[[#This Row],[Date]])</f>
        <v>2025</v>
      </c>
      <c r="D47" s="133">
        <f t="shared" si="158"/>
        <v>45778</v>
      </c>
      <c r="E47" s="132">
        <f>DAY(EOMONTH(RD[[#This Row],[Date]],0))</f>
        <v>31</v>
      </c>
      <c r="F47" s="146">
        <v>0.25624999999999998</v>
      </c>
      <c r="G47" s="156">
        <v>0.76944444444444449</v>
      </c>
      <c r="H47" s="121">
        <v>8530.9</v>
      </c>
      <c r="I47" s="121">
        <v>8513.9</v>
      </c>
      <c r="J47" s="121">
        <v>8073.1</v>
      </c>
      <c r="K47" s="121">
        <v>8182.9</v>
      </c>
      <c r="L47" s="121">
        <v>8417.2999999999993</v>
      </c>
      <c r="M47" s="121">
        <v>8601.6</v>
      </c>
      <c r="N47" s="121">
        <v>8288.6</v>
      </c>
      <c r="O47" s="121">
        <v>8940.7000000000007</v>
      </c>
      <c r="P47" s="121">
        <v>8350.6</v>
      </c>
      <c r="Q47" s="121">
        <v>8288.1</v>
      </c>
      <c r="R47" s="121">
        <v>8599.4</v>
      </c>
      <c r="S47" s="121">
        <v>8559.7999999999993</v>
      </c>
      <c r="T47" s="121">
        <v>8843</v>
      </c>
      <c r="U47" s="121">
        <v>8664.7999999999993</v>
      </c>
      <c r="V47" s="121">
        <v>8739.5</v>
      </c>
      <c r="W47" s="121">
        <v>8446.6</v>
      </c>
      <c r="X47" s="192">
        <v>12089.4</v>
      </c>
      <c r="Y47" s="192">
        <v>13088.5</v>
      </c>
      <c r="Z47" s="192">
        <v>11595.3</v>
      </c>
      <c r="AA47" s="192">
        <v>12094.9</v>
      </c>
      <c r="AB47" s="192">
        <v>13202.2</v>
      </c>
      <c r="AC47" s="192">
        <v>8147.5</v>
      </c>
      <c r="AD47" s="192">
        <v>12052.9</v>
      </c>
      <c r="AE47" s="192">
        <v>12258.3</v>
      </c>
      <c r="AF47" s="192">
        <v>12017.3</v>
      </c>
      <c r="AG47" s="192">
        <v>12012.4</v>
      </c>
      <c r="AH47" s="192">
        <v>11934.1</v>
      </c>
      <c r="AI47" s="192">
        <v>12059</v>
      </c>
      <c r="AJ47" s="136">
        <v>9879.2000000000007</v>
      </c>
      <c r="AK47" s="136">
        <v>10131.4</v>
      </c>
      <c r="AL47" s="136">
        <v>9845.2999999999993</v>
      </c>
      <c r="AM47" s="136">
        <v>9967.2999999999993</v>
      </c>
      <c r="AN47" s="136">
        <v>9961</v>
      </c>
      <c r="AO47" s="136">
        <v>10289.200000000001</v>
      </c>
      <c r="AP47" s="136">
        <v>10118.799999999999</v>
      </c>
      <c r="AQ47" s="136">
        <v>10014.5</v>
      </c>
      <c r="AR47" s="136">
        <v>8133</v>
      </c>
      <c r="AS47" s="136">
        <v>8232.7999999999993</v>
      </c>
      <c r="AT47" s="136">
        <v>8177</v>
      </c>
      <c r="AU47" s="136">
        <v>8147.7</v>
      </c>
      <c r="AV47" s="136">
        <v>8379.9</v>
      </c>
      <c r="AW47" s="136">
        <v>8124</v>
      </c>
      <c r="AX47" s="136">
        <v>11616.3</v>
      </c>
      <c r="AY47" s="136">
        <v>12781.2</v>
      </c>
      <c r="AZ47" s="136">
        <v>9421.5</v>
      </c>
      <c r="BA47" s="136">
        <v>11426.9</v>
      </c>
      <c r="BB47" s="136">
        <v>11582.9</v>
      </c>
      <c r="BC47" s="136">
        <v>9710</v>
      </c>
      <c r="BD47" s="136">
        <v>8096.4</v>
      </c>
      <c r="BE47" s="136">
        <v>10923</v>
      </c>
      <c r="BF47" s="136">
        <v>11530</v>
      </c>
      <c r="BG47" s="136">
        <v>11510</v>
      </c>
      <c r="BH47" s="136">
        <v>6969.7</v>
      </c>
      <c r="BI47" s="136">
        <v>4440.3</v>
      </c>
      <c r="BJ47" s="136">
        <v>8026.1</v>
      </c>
      <c r="BK47" s="136">
        <v>5758.1</v>
      </c>
      <c r="BL47" s="136">
        <v>7706.6</v>
      </c>
      <c r="BM47" s="136">
        <v>7475.6</v>
      </c>
      <c r="BN47" s="136">
        <v>7923.2</v>
      </c>
      <c r="BO47" s="136">
        <v>7568.9</v>
      </c>
      <c r="BP47" s="136">
        <v>8571.1</v>
      </c>
      <c r="BQ47" s="136">
        <v>7674.8</v>
      </c>
      <c r="BR47" s="136">
        <v>6871.2</v>
      </c>
      <c r="BS47" s="136">
        <v>3051.5</v>
      </c>
      <c r="BT47" s="136">
        <v>3049.2</v>
      </c>
      <c r="BU47" s="136">
        <v>1740.2</v>
      </c>
      <c r="BV47" s="136"/>
      <c r="BW47" s="136"/>
      <c r="BX47" s="136"/>
      <c r="BY47" s="136"/>
      <c r="BZ47" s="136">
        <v>1251.5999999999999</v>
      </c>
      <c r="CA47" s="136">
        <v>1052.4000000000001</v>
      </c>
      <c r="CB47" s="136">
        <v>4499</v>
      </c>
      <c r="CC47" s="136">
        <v>8192.2999999999993</v>
      </c>
      <c r="CD47" s="59">
        <v>6.6940024499999957</v>
      </c>
      <c r="CE47" s="59">
        <v>6.5345817999999971</v>
      </c>
      <c r="CF47" s="195">
        <v>6.8186932166666665</v>
      </c>
      <c r="CG47" s="195">
        <v>6.4830149333333322</v>
      </c>
      <c r="CH47" s="195">
        <v>0.89043181666666726</v>
      </c>
      <c r="CI47" s="195">
        <v>0.98447174999999953</v>
      </c>
      <c r="CJ47" s="59">
        <v>1.3779289499999965</v>
      </c>
      <c r="CK47" s="59">
        <v>1.1162860833333323</v>
      </c>
      <c r="CL47" s="195">
        <v>31.204563176895242</v>
      </c>
      <c r="CM47" s="195">
        <v>31.419807359307409</v>
      </c>
      <c r="CN47" s="195">
        <v>45.431043321299647</v>
      </c>
      <c r="CO47" s="195">
        <v>43.241523088023129</v>
      </c>
      <c r="CP47" s="195">
        <v>50.129703971119177</v>
      </c>
      <c r="CQ47" s="195">
        <v>50.893953823953851</v>
      </c>
      <c r="CR47" s="59">
        <v>0</v>
      </c>
      <c r="CS47" s="59">
        <v>0</v>
      </c>
      <c r="CT47" s="195">
        <v>1.1677494584837542</v>
      </c>
      <c r="CU47" s="195">
        <v>1.2757113997113996</v>
      </c>
      <c r="CV47" s="195">
        <v>3.4049999999999998</v>
      </c>
      <c r="CW47" s="247">
        <v>3.7440000000000002</v>
      </c>
      <c r="CX47" s="193">
        <f>IFERROR(AVERAGEIF(RD[[#This Row],[IS1POA1 (KWh/m2)]:[IS7POA2 (KWh/m2)]],"&lt;&gt;0",RD[[#This Row],[IS1POA1 (KWh/m2)]:[IS7POA2 (KWh/m2)]]),"")</f>
        <v>6.6142921249999969</v>
      </c>
      <c r="CY47" s="193">
        <f>IFERROR(AVERAGEIF(RD[[#This Row],[IS1GHI1 (KWh/m2)]:[IS7GHI2 (KWh/m2)]],"&lt;&gt;0",RD[[#This Row],[IS1GHI1 (KWh/m2)]:[IS7GHI2 (KWh/m2)]]),"")</f>
        <v>6.6508540749999998</v>
      </c>
      <c r="CZ47" s="193">
        <f>IFERROR(AVERAGEIF(RD[[#This Row],[IS1POA_BS1 (KWh/m2)]:[IS7POA_BS2 (KWh/m2)]],"&lt;&gt;0",RD[[#This Row],[IS1POA_BS1 (KWh/m2)]:[IS7POA_BS2 (KWh/m2)]]),"")</f>
        <v>0.93745178333333334</v>
      </c>
      <c r="DA47" s="193">
        <f>IFERROR(AVERAGEIF(RD[[#This Row],[IS1GHI_BS1 (KWh/m2)]:[IS1GHI_BS1 (KWh/m2)2]],"&lt;&gt;0",RD[[#This Row],[IS1GHI_BS1 (KWh/m2)]:[IS1GHI_BS1 (KWh/m2)2]]),"")</f>
        <v>1.2471075166666643</v>
      </c>
      <c r="DB47" s="193">
        <f>IFERROR(AVERAGEIF(RD[[#This Row],[IS1AT1 (°C)]:[IS7AT2 (°C)]],"&lt;&gt;0",RD[[#This Row],[IS1AT1 (°C)]:[IS7AT2 (°C)]]),"")</f>
        <v>31.312185268101324</v>
      </c>
      <c r="DC47" s="193">
        <f>IFERROR(AVERAGEIF(RD[[#This Row],[IS1MT1 (°C)]:[IS7MT2 (°C)]],"&lt;&gt;0",RD[[#This Row],[IS1MT1 (°C)]:[IS7MT2 (°C)]]),"")</f>
        <v>44.336283204661385</v>
      </c>
      <c r="DD47" s="193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193">
        <f>IFERROR(AVERAGEIF(RD[[#This Row],[WS_Solar1_Avg (m/s)]:[IS7_WS_Solar1_Avg (m/s)]],"&lt;&gt;0",RD[[#This Row],[WS_Solar1_Avg (m/s)]:[IS7_WS_Solar1_Avg (m/s)]]),"")</f>
        <v>1.221730429097577</v>
      </c>
      <c r="DG47" s="193">
        <f>IFERROR(AVERAGEIF(RD[[#This Row],[WS_Solar1_Max (m/s)]:[IS7_WS_Solar1_Max (m/s)]],"&lt;&gt;0",RD[[#This Row],[WS_Solar1_Max (m/s)]:[IS7_WS_Solar1_Max (m/s)]]),"")</f>
        <v>3.5745</v>
      </c>
      <c r="DH47" s="193">
        <f>SUM(RD[[#This Row],[IS1Inv1M1]:[IS4Inv4M2]])</f>
        <v>278592.59999999998</v>
      </c>
      <c r="DI47" s="194">
        <f>SUM(RD[[#This Row],[IS7Inv1M1]]+RD[[#This Row],[IS7Inv2M1]])</f>
        <v>16365.8</v>
      </c>
      <c r="DJ47" s="193">
        <f>SUM(RD[[#This Row],[IS5Inv1M1]:[IS5Inv2M2]])</f>
        <v>39823.199999999997</v>
      </c>
      <c r="DK47" s="193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75">
        <f>SUM(RD[[#This Row],[IS12Inv1M1]:[IS12Inv1M4]])</f>
        <v>31737.999999999996</v>
      </c>
      <c r="DO47" s="275">
        <f>SUM(RD[[#This Row],[IS13Inv1M1]:[IS13Inv2M2]])</f>
        <v>14712.100000000002</v>
      </c>
      <c r="DP47" s="193">
        <f>SUM(RD[[#This Row],[O2R15]:[O2R26]])</f>
        <v>618413.69999999995</v>
      </c>
      <c r="DQ47" s="158">
        <v>39500.199999999997</v>
      </c>
      <c r="DR47" s="162">
        <v>208.4</v>
      </c>
      <c r="DS47" s="158">
        <v>34119.9</v>
      </c>
      <c r="DT47" s="158">
        <v>220.6</v>
      </c>
      <c r="DU47" s="162">
        <v>39599.4</v>
      </c>
      <c r="DV47" s="162">
        <v>395.7</v>
      </c>
      <c r="DW47" s="158">
        <v>7493</v>
      </c>
      <c r="DX47" s="162">
        <v>33.1</v>
      </c>
      <c r="DY47" s="162"/>
      <c r="DZ47" s="162"/>
      <c r="EA47" s="134">
        <v>93.08</v>
      </c>
      <c r="EB47" s="230">
        <v>124039970</v>
      </c>
      <c r="EC47" s="229">
        <v>915893.18400000001</v>
      </c>
      <c r="ED47" s="230">
        <v>1098</v>
      </c>
      <c r="EE47" s="230">
        <v>118346</v>
      </c>
      <c r="EF47" s="158">
        <v>172029.9</v>
      </c>
      <c r="EG47" s="158">
        <v>1799.6</v>
      </c>
      <c r="EH47" s="140">
        <f>IF((RD[[#This Row],[33 kV_F3_Ex
Incomer1]]-DQ46)*1000&lt;0,0,(RD[[#This Row],[33 kV_F3_Ex
Incomer1]]-DQ46)*1000)</f>
        <v>141500</v>
      </c>
      <c r="EI47" s="140">
        <f>IF((RD[[#This Row],[34 kV_F3_Im
Incomer1]]-DR46)*1000&lt;0,0,(RD[[#This Row],[34 kV_F3_Im
Incomer1]]-DR46)*1000)</f>
        <v>400.00000000000568</v>
      </c>
      <c r="EJ47" s="140">
        <f>IF((RD[[#This Row],[33 kV_F4_Ex
Incomer2]]-DS46)*1000&lt;0,0,(RD[[#This Row],[33 kV_F4_Ex
Incomer2]]-DS46)*1000)</f>
        <v>127599.99999999854</v>
      </c>
      <c r="EK47" s="140">
        <f>IF((RD[[#This Row],[34 kV_F4_Im
Incomer2]]-DT46)*1000&lt;0,0,(RD[[#This Row],[34 kV_F4_Im
Incomer2]]-DT46)*1000)</f>
        <v>299.99999999998295</v>
      </c>
      <c r="EL47" s="140">
        <f>IF((RD[[#This Row],[33 kV_F5_Ex
Incomer3]]-DU46)*1000&lt;0,0,(RD[[#This Row],[33 kV_F5_Ex
Incomer3]]-DU46)*1000)</f>
        <v>172099.99999999854</v>
      </c>
      <c r="EM47" s="140">
        <f>IF((RD[[#This Row],[34 kV_F5_Im
Incomer3]]-DV46)*1000&lt;0,0,(RD[[#This Row],[34 kV_F5_Im
Incomer3]]-DV46)*1000)</f>
        <v>599.99999999996589</v>
      </c>
      <c r="EN47" s="140">
        <f>IF((RD[[#This Row],[33 kV_F6_Ex
Incomer4]]-DW46)*1000&lt;0,0,(RD[[#This Row],[33 kV_F6_Ex
Incomer4]]-DW46)*1000)</f>
        <v>164500</v>
      </c>
      <c r="EO47" s="140">
        <f>IF((RD[[#This Row],[33 kV_F6_Im
Incomer4]]-DX46)*1000&lt;0,0,(RD[[#This Row],[33 kV_F6_Im
Incomer4]]-DX46)*1000)</f>
        <v>800.00000000000432</v>
      </c>
      <c r="EP47" s="140">
        <f>IF((RD[[#This Row],[33 kV_F7_Ex
Incomer5]]-DY46)*1000&lt;0,0,(RD[[#This Row],[33 kV_F7_Ex
Incomer5]]-DY46)*1000)</f>
        <v>0</v>
      </c>
      <c r="EQ47" s="140">
        <f>IF((RD[[#This Row],[33 kV_F7_Im
Incomer5]]-DZ46)*1000&lt;0,0,(RD[[#This Row],[33 kV_F7_Im
Incomer5]]-DZ46)*1000)</f>
        <v>0</v>
      </c>
      <c r="ER47" s="140">
        <f>IF((RD[[#This Row],[33 kV_Aux Trafo]]-EA46)*1000&lt;0,0,(RD[[#This Row],[33 kV_Aux Trafo]]-EA46)*1000)</f>
        <v>269.99999999999602</v>
      </c>
      <c r="ES47" s="152">
        <f>IF((RD[[#This Row],[33kV_OG1_Ex_]]-EB46)*1&lt;0,0,(RD[[#This Row],[33kV_OG1_Ex_]]-EB46)*1)</f>
        <v>610590</v>
      </c>
      <c r="ET47" s="140">
        <f>IF((RD[[#This Row],[33kV_OG1_Im]]-EC46)*1&lt;0,0,(RD[[#This Row],[33kV_OG1_Im]]-EC46)*1)</f>
        <v>2245.5679999999702</v>
      </c>
      <c r="EU47" s="140">
        <f>IF((RD[[#This Row],[132kV_TX1_EX]]-ED46)*720&lt;=0,"",(RD[[#This Row],[132kV_TX1_EX]]-ED46)*720)</f>
        <v>1440</v>
      </c>
      <c r="EV47" s="140">
        <f>IF((RD[[#This Row],[132 kV_Tx1_Im]]-EE46)*720&lt;=0,0,(RD[[#This Row],[132 kV_Tx1_Im]]-EE46)*720)</f>
        <v>438480</v>
      </c>
      <c r="EW47" s="140">
        <f>IF((RD[[#This Row],[132kV_L1_Ex]]-EF46)*720&lt;=0,0,(RD[[#This Row],[132kV_L1_Ex]]-EF46)*720)</f>
        <v>608327.99999999581</v>
      </c>
      <c r="EX47" s="140">
        <f>IF((RD[[#This Row],[132kV_L1_Im]]-EG46)*720&lt;=0,0,(RD[[#This Row],[132kV_L1_Im]]-EG46)*720)</f>
        <v>2735.9999999999673</v>
      </c>
      <c r="EY47" s="231">
        <f>IFERROR(RD[[#This Row],[33kV_OG1_Ex (MWh)]]+RD[[#This Row],[33kV_OG1_Im (MWh)]],"")</f>
        <v>612835.56799999997</v>
      </c>
      <c r="EZ47" s="142">
        <f>RD[[#This Row],[33kV_OG1_Ex (MWh)]]-RD[[#This Row],[33kV_OG1_Im (MWh)]]</f>
        <v>608344.43200000003</v>
      </c>
      <c r="FA47" s="142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32">
        <v>12.4</v>
      </c>
      <c r="FD47" s="233">
        <v>111</v>
      </c>
      <c r="FE47" t="s">
        <v>279</v>
      </c>
      <c r="FG47" s="138" t="str">
        <f>IFERROR(RD[[#This Row],[E_AC (WPR)]]/RD[[#This Row],[E_DC (WPR)]],"")</f>
        <v/>
      </c>
    </row>
    <row r="48" spans="1:163">
      <c r="A48" s="130">
        <f t="shared" si="157"/>
        <v>45788</v>
      </c>
      <c r="B48" s="132">
        <f>YEAR(RD[[#This Row],[Date]])+IF(MONTH(RD[[#This Row],[Date]])&gt;=4,1,0)</f>
        <v>2026</v>
      </c>
      <c r="C48" s="132">
        <f>YEAR(RD[[#This Row],[Date]])</f>
        <v>2025</v>
      </c>
      <c r="D48" s="133">
        <f t="shared" si="158"/>
        <v>45778</v>
      </c>
      <c r="E48" s="132">
        <f>DAY(EOMONTH(RD[[#This Row],[Date]],0))</f>
        <v>31</v>
      </c>
      <c r="F48" s="146">
        <v>0.25763888888888886</v>
      </c>
      <c r="G48" s="156">
        <v>0.7583333333333333</v>
      </c>
      <c r="H48" s="121">
        <v>6311.3</v>
      </c>
      <c r="I48" s="121">
        <v>6224.5</v>
      </c>
      <c r="J48" s="121">
        <v>5851.8</v>
      </c>
      <c r="K48" s="121">
        <v>5901.8</v>
      </c>
      <c r="L48" s="121">
        <v>6163.3</v>
      </c>
      <c r="M48" s="121">
        <v>6454</v>
      </c>
      <c r="N48" s="121">
        <v>6079.9</v>
      </c>
      <c r="O48" s="121">
        <v>6861.2</v>
      </c>
      <c r="P48" s="121">
        <v>5936.2</v>
      </c>
      <c r="Q48" s="121">
        <v>5960.2</v>
      </c>
      <c r="R48" s="121">
        <v>6215.4</v>
      </c>
      <c r="S48" s="121">
        <v>6173.3</v>
      </c>
      <c r="T48" s="121">
        <v>6325.4</v>
      </c>
      <c r="U48" s="121">
        <v>6240.6</v>
      </c>
      <c r="V48" s="121">
        <v>6286</v>
      </c>
      <c r="W48" s="121">
        <v>5994.6</v>
      </c>
      <c r="X48" s="192">
        <v>8467.9</v>
      </c>
      <c r="Y48" s="192">
        <v>9308.7000000000007</v>
      </c>
      <c r="Z48" s="192">
        <v>8176.1</v>
      </c>
      <c r="AA48" s="192">
        <v>8480.2000000000007</v>
      </c>
      <c r="AB48" s="192">
        <v>9686.1</v>
      </c>
      <c r="AC48" s="192">
        <v>5949.3</v>
      </c>
      <c r="AD48" s="192">
        <v>8892</v>
      </c>
      <c r="AE48" s="192">
        <v>9006.2000000000007</v>
      </c>
      <c r="AF48" s="192">
        <v>8757.6</v>
      </c>
      <c r="AG48" s="192">
        <v>8658</v>
      </c>
      <c r="AH48" s="192">
        <v>8699.2999999999993</v>
      </c>
      <c r="AI48" s="192">
        <v>8803.2000000000007</v>
      </c>
      <c r="AJ48" s="136">
        <v>7834.3</v>
      </c>
      <c r="AK48" s="136">
        <v>7908.9</v>
      </c>
      <c r="AL48" s="136">
        <v>7614.2</v>
      </c>
      <c r="AM48" s="136">
        <v>7714.1</v>
      </c>
      <c r="AN48" s="136">
        <v>7809.9</v>
      </c>
      <c r="AO48" s="136">
        <v>8027.6</v>
      </c>
      <c r="AP48" s="136">
        <v>8004.8</v>
      </c>
      <c r="AQ48" s="136">
        <v>7833.5</v>
      </c>
      <c r="AR48" s="136">
        <v>6317</v>
      </c>
      <c r="AS48" s="136">
        <v>6360.7</v>
      </c>
      <c r="AT48" s="136">
        <v>6311</v>
      </c>
      <c r="AU48" s="136">
        <v>6278.4</v>
      </c>
      <c r="AV48" s="136">
        <v>6433.3</v>
      </c>
      <c r="AW48" s="136">
        <v>6218.1</v>
      </c>
      <c r="AX48" s="136">
        <v>9263</v>
      </c>
      <c r="AY48" s="136">
        <v>10253</v>
      </c>
      <c r="AZ48" s="136">
        <v>7522</v>
      </c>
      <c r="BA48" s="136">
        <v>9031</v>
      </c>
      <c r="BB48" s="136">
        <v>9399</v>
      </c>
      <c r="BC48" s="136">
        <v>7899</v>
      </c>
      <c r="BD48" s="136">
        <v>6760</v>
      </c>
      <c r="BE48" s="136">
        <v>8923</v>
      </c>
      <c r="BF48" s="136">
        <v>9643</v>
      </c>
      <c r="BG48" s="136">
        <v>9742</v>
      </c>
      <c r="BH48" s="136">
        <v>5804</v>
      </c>
      <c r="BI48" s="136">
        <v>3563</v>
      </c>
      <c r="BJ48" s="136">
        <v>6330</v>
      </c>
      <c r="BK48" s="136">
        <v>4562</v>
      </c>
      <c r="BL48" s="136">
        <v>5938</v>
      </c>
      <c r="BM48" s="136">
        <v>5864</v>
      </c>
      <c r="BN48" s="136">
        <v>6412</v>
      </c>
      <c r="BO48" s="136">
        <v>5956</v>
      </c>
      <c r="BP48" s="136">
        <v>6757</v>
      </c>
      <c r="BQ48" s="136">
        <v>6054</v>
      </c>
      <c r="BR48" s="136">
        <v>7001</v>
      </c>
      <c r="BS48" s="136">
        <v>3538</v>
      </c>
      <c r="BT48" s="136">
        <v>2906</v>
      </c>
      <c r="BU48" s="136">
        <v>1357</v>
      </c>
      <c r="BV48" s="136"/>
      <c r="BW48" s="136"/>
      <c r="BX48" s="136"/>
      <c r="BY48" s="136"/>
      <c r="BZ48" s="136">
        <v>981</v>
      </c>
      <c r="CA48" s="136">
        <v>821</v>
      </c>
      <c r="CB48" s="136">
        <v>3573</v>
      </c>
      <c r="CC48" s="136">
        <v>6521</v>
      </c>
      <c r="CD48" s="59">
        <v>4.9530996333333315</v>
      </c>
      <c r="CE48" s="59">
        <v>5.0945720666666769</v>
      </c>
      <c r="CF48" s="195">
        <v>5.0113836166666665</v>
      </c>
      <c r="CG48" s="195">
        <v>5.0277726666666709</v>
      </c>
      <c r="CH48" s="195">
        <v>0.72585924999999962</v>
      </c>
      <c r="CI48" s="195">
        <v>0.72518864999999966</v>
      </c>
      <c r="CJ48" s="59">
        <v>1.0112918833333326</v>
      </c>
      <c r="CK48" s="59">
        <v>5.0277726666666709</v>
      </c>
      <c r="CL48" s="195">
        <v>30.355556471558241</v>
      </c>
      <c r="CM48" s="195">
        <v>30.703996710526297</v>
      </c>
      <c r="CN48" s="195">
        <v>43.100967023907671</v>
      </c>
      <c r="CO48" s="195">
        <v>41.624725328947441</v>
      </c>
      <c r="CP48" s="195">
        <v>53.924237427864774</v>
      </c>
      <c r="CQ48" s="195">
        <v>52.968659539473705</v>
      </c>
      <c r="CR48" s="59">
        <v>3.9571310799670224E-2</v>
      </c>
      <c r="CS48" s="59">
        <v>0</v>
      </c>
      <c r="CT48" s="195">
        <v>0.97938994229183807</v>
      </c>
      <c r="CU48" s="195">
        <v>0.99714967105263053</v>
      </c>
      <c r="CV48" s="195">
        <v>3.81</v>
      </c>
      <c r="CW48" s="247">
        <v>4.38</v>
      </c>
      <c r="CX48" s="193">
        <f>IFERROR(AVERAGEIF(RD[[#This Row],[IS1POA1 (KWh/m2)]:[IS7POA2 (KWh/m2)]],"&lt;&gt;0",RD[[#This Row],[IS1POA1 (KWh/m2)]:[IS7POA2 (KWh/m2)]]),"")</f>
        <v>5.0238358500000047</v>
      </c>
      <c r="CY48" s="193">
        <f>IFERROR(AVERAGEIF(RD[[#This Row],[IS1GHI1 (KWh/m2)]:[IS7GHI2 (KWh/m2)]],"&lt;&gt;0",RD[[#This Row],[IS1GHI1 (KWh/m2)]:[IS7GHI2 (KWh/m2)]]),"")</f>
        <v>5.0195781416666687</v>
      </c>
      <c r="CZ48" s="193">
        <f>IFERROR(AVERAGEIF(RD[[#This Row],[IS1POA_BS1 (KWh/m2)]:[IS7POA_BS2 (KWh/m2)]],"&lt;&gt;0",RD[[#This Row],[IS1POA_BS1 (KWh/m2)]:[IS7POA_BS2 (KWh/m2)]]),"")</f>
        <v>0.7255239499999997</v>
      </c>
      <c r="DA48" s="193">
        <f>IFERROR(AVERAGEIF(RD[[#This Row],[IS1GHI_BS1 (KWh/m2)]:[IS1GHI_BS1 (KWh/m2)2]],"&lt;&gt;0",RD[[#This Row],[IS1GHI_BS1 (KWh/m2)]:[IS1GHI_BS1 (KWh/m2)2]]),"")</f>
        <v>3.0195322750000018</v>
      </c>
      <c r="DB48" s="193">
        <f>IFERROR(AVERAGEIF(RD[[#This Row],[IS1AT1 (°C)]:[IS7AT2 (°C)]],"&lt;&gt;0",RD[[#This Row],[IS1AT1 (°C)]:[IS7AT2 (°C)]]),"")</f>
        <v>30.529776591042271</v>
      </c>
      <c r="DC48" s="193">
        <f>IFERROR(AVERAGEIF(RD[[#This Row],[IS1MT1 (°C)]:[IS7MT2 (°C)]],"&lt;&gt;0",RD[[#This Row],[IS1MT1 (°C)]:[IS7MT2 (°C)]]),"")</f>
        <v>42.362846176427553</v>
      </c>
      <c r="DD48" s="193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193">
        <f>IFERROR(AVERAGEIF(RD[[#This Row],[WS_Solar1_Avg (m/s)]:[IS7_WS_Solar1_Avg (m/s)]],"&lt;&gt;0",RD[[#This Row],[WS_Solar1_Avg (m/s)]:[IS7_WS_Solar1_Avg (m/s)]]),"")</f>
        <v>0.9882698066722343</v>
      </c>
      <c r="DG48" s="193">
        <f>IFERROR(AVERAGEIF(RD[[#This Row],[WS_Solar1_Max (m/s)]:[IS7_WS_Solar1_Max (m/s)]],"&lt;&gt;0",RD[[#This Row],[WS_Solar1_Max (m/s)]:[IS7_WS_Solar1_Max (m/s)]]),"")</f>
        <v>4.0949999999999998</v>
      </c>
      <c r="DH48" s="193">
        <f>SUM(RD[[#This Row],[IS1Inv1M1]:[IS4Inv4M2]])</f>
        <v>201864.1</v>
      </c>
      <c r="DI48" s="194">
        <f>SUM(RD[[#This Row],[IS7Inv1M1]]+RD[[#This Row],[IS7Inv2M1]])</f>
        <v>12677.7</v>
      </c>
      <c r="DJ48" s="193">
        <f>SUM(RD[[#This Row],[IS5Inv1M1]:[IS5Inv2M2]])</f>
        <v>31071.5</v>
      </c>
      <c r="DK48" s="193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75">
        <f>SUM(RD[[#This Row],[IS12Inv1M1]:[IS12Inv1M4]])</f>
        <v>25179</v>
      </c>
      <c r="DO48" s="275">
        <f>SUM(RD[[#This Row],[IS13Inv1M1]:[IS13Inv2M2]])</f>
        <v>14802</v>
      </c>
      <c r="DP48" s="193">
        <f>SUM(RD[[#This Row],[O2R15]:[O2R26]])</f>
        <v>474902.9</v>
      </c>
      <c r="DQ48" s="158">
        <v>39602.300000000003</v>
      </c>
      <c r="DR48" s="162">
        <v>208.8</v>
      </c>
      <c r="DS48" s="158">
        <v>34215.699999999997</v>
      </c>
      <c r="DT48" s="158">
        <v>221</v>
      </c>
      <c r="DU48" s="162">
        <v>39734.300000000003</v>
      </c>
      <c r="DV48" s="162">
        <v>396.4</v>
      </c>
      <c r="DW48" s="158">
        <v>7626.7</v>
      </c>
      <c r="DX48" s="162">
        <v>34.1</v>
      </c>
      <c r="DY48" s="162"/>
      <c r="DZ48" s="162"/>
      <c r="EA48" s="134">
        <v>93.36</v>
      </c>
      <c r="EB48" s="230">
        <v>124507570</v>
      </c>
      <c r="EC48" s="229">
        <v>918594.88</v>
      </c>
      <c r="ED48" s="230">
        <v>1102</v>
      </c>
      <c r="EE48" s="230">
        <v>118811</v>
      </c>
      <c r="EF48" s="158">
        <v>172676.9</v>
      </c>
      <c r="EG48" s="158">
        <v>1804.1</v>
      </c>
      <c r="EH48" s="140">
        <f>IF((RD[[#This Row],[33 kV_F3_Ex
Incomer1]]-DQ47)*1000&lt;0,0,(RD[[#This Row],[33 kV_F3_Ex
Incomer1]]-DQ47)*1000)</f>
        <v>102100.00000000582</v>
      </c>
      <c r="EI48" s="140">
        <f>IF((RD[[#This Row],[34 kV_F3_Im
Incomer1]]-DR47)*1000&lt;0,0,(RD[[#This Row],[34 kV_F3_Im
Incomer1]]-DR47)*1000)</f>
        <v>400.00000000000568</v>
      </c>
      <c r="EJ48" s="140">
        <f>IF((RD[[#This Row],[33 kV_F4_Ex
Incomer2]]-DS47)*1000&lt;0,0,(RD[[#This Row],[33 kV_F4_Ex
Incomer2]]-DS47)*1000)</f>
        <v>95799.999999995634</v>
      </c>
      <c r="EK48" s="140">
        <f>IF((RD[[#This Row],[34 kV_F4_Im
Incomer2]]-DT47)*1000&lt;0,0,(RD[[#This Row],[34 kV_F4_Im
Incomer2]]-DT47)*1000)</f>
        <v>400.00000000000568</v>
      </c>
      <c r="EL48" s="140">
        <f>IF((RD[[#This Row],[33 kV_F5_Ex
Incomer3]]-DU47)*1000&lt;0,0,(RD[[#This Row],[33 kV_F5_Ex
Incomer3]]-DU47)*1000)</f>
        <v>134900.00000000146</v>
      </c>
      <c r="EM48" s="140">
        <f>IF((RD[[#This Row],[34 kV_F5_Im
Incomer3]]-DV47)*1000&lt;0,0,(RD[[#This Row],[34 kV_F5_Im
Incomer3]]-DV47)*1000)</f>
        <v>699.99999999998863</v>
      </c>
      <c r="EN48" s="140">
        <f>IF((RD[[#This Row],[33 kV_F6_Ex
Incomer4]]-DW47)*1000&lt;0,0,(RD[[#This Row],[33 kV_F6_Ex
Incomer4]]-DW47)*1000)</f>
        <v>133699.99999999983</v>
      </c>
      <c r="EO48" s="140">
        <f>IF((RD[[#This Row],[33 kV_F6_Im
Incomer4]]-DX47)*1000&lt;0,0,(RD[[#This Row],[33 kV_F6_Im
Incomer4]]-DX47)*1000)</f>
        <v>1000</v>
      </c>
      <c r="EP48" s="140">
        <f>IF((RD[[#This Row],[33 kV_F7_Ex
Incomer5]]-DY47)*1000&lt;0,0,(RD[[#This Row],[33 kV_F7_Ex
Incomer5]]-DY47)*1000)</f>
        <v>0</v>
      </c>
      <c r="EQ48" s="140">
        <f>IF((RD[[#This Row],[33 kV_F7_Im
Incomer5]]-DZ47)*1000&lt;0,0,(RD[[#This Row],[33 kV_F7_Im
Incomer5]]-DZ47)*1000)</f>
        <v>0</v>
      </c>
      <c r="ER48" s="140">
        <f>IF((RD[[#This Row],[33 kV_Aux Trafo]]-EA47)*1000&lt;0,0,(RD[[#This Row],[33 kV_Aux Trafo]]-EA47)*1000)</f>
        <v>280.00000000000114</v>
      </c>
      <c r="ES48" s="152">
        <f>IF((RD[[#This Row],[33kV_OG1_Ex_]]-EB47)*1&lt;0,0,(RD[[#This Row],[33kV_OG1_Ex_]]-EB47)*1)</f>
        <v>467600</v>
      </c>
      <c r="ET48" s="140">
        <f>IF((RD[[#This Row],[33kV_OG1_Im]]-EC47)*1&lt;0,0,(RD[[#This Row],[33kV_OG1_Im]]-EC47)*1)</f>
        <v>2701.6959999999963</v>
      </c>
      <c r="EU48" s="140">
        <f>IF((RD[[#This Row],[132kV_TX1_EX]]-ED47)*720&lt;=0,"",(RD[[#This Row],[132kV_TX1_EX]]-ED47)*720)</f>
        <v>2880</v>
      </c>
      <c r="EV48" s="140">
        <f>IF((RD[[#This Row],[132 kV_Tx1_Im]]-EE47)*720&lt;=0,0,(RD[[#This Row],[132 kV_Tx1_Im]]-EE47)*720)</f>
        <v>334800</v>
      </c>
      <c r="EW48" s="140">
        <f>IF((RD[[#This Row],[132kV_L1_Ex]]-EF47)*720&lt;=0,0,(RD[[#This Row],[132kV_L1_Ex]]-EF47)*720)</f>
        <v>465840</v>
      </c>
      <c r="EX48" s="140">
        <f>IF((RD[[#This Row],[132kV_L1_Im]]-EG47)*720&lt;=0,0,(RD[[#This Row],[132kV_L1_Im]]-EG47)*720)</f>
        <v>3240</v>
      </c>
      <c r="EY48" s="231">
        <f>IFERROR(RD[[#This Row],[33kV_OG1_Ex (MWh)]]+RD[[#This Row],[33kV_OG1_Im (MWh)]],"")</f>
        <v>470301.696</v>
      </c>
      <c r="EZ48" s="142">
        <f>RD[[#This Row],[33kV_OG1_Ex (MWh)]]-RD[[#This Row],[33kV_OG1_Im (MWh)]]</f>
        <v>464898.304</v>
      </c>
      <c r="FA48" s="142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32">
        <v>12.4</v>
      </c>
      <c r="FD48" s="233">
        <v>111</v>
      </c>
      <c r="FE48" t="s">
        <v>281</v>
      </c>
      <c r="FG48" s="138" t="str">
        <f>IFERROR(RD[[#This Row],[E_AC (WPR)]]/RD[[#This Row],[E_DC (WPR)]],"")</f>
        <v/>
      </c>
    </row>
    <row r="49" spans="1:163">
      <c r="A49" s="130">
        <f t="shared" ref="A49:A52" si="159">A48+1</f>
        <v>45789</v>
      </c>
      <c r="B49" s="132">
        <f>YEAR(RD[[#This Row],[Date]])+IF(MONTH(RD[[#This Row],[Date]])&gt;=4,1,0)</f>
        <v>2026</v>
      </c>
      <c r="C49" s="132">
        <f>YEAR(RD[[#This Row],[Date]])</f>
        <v>2025</v>
      </c>
      <c r="D49" s="133">
        <f t="shared" ref="D49:D52" si="160">A49-DAY(A49)+1</f>
        <v>45778</v>
      </c>
      <c r="E49" s="132">
        <f>DAY(EOMONTH(RD[[#This Row],[Date]],0))</f>
        <v>31</v>
      </c>
      <c r="F49" s="146">
        <v>0.26250000000000001</v>
      </c>
      <c r="G49" s="156">
        <v>0.74722222222222223</v>
      </c>
      <c r="H49" s="121">
        <v>6592.3</v>
      </c>
      <c r="I49" s="121">
        <v>6570.9</v>
      </c>
      <c r="J49" s="121">
        <v>6189.4</v>
      </c>
      <c r="K49" s="121">
        <v>6189</v>
      </c>
      <c r="L49" s="121">
        <v>6393.3</v>
      </c>
      <c r="M49" s="121">
        <v>6629.7</v>
      </c>
      <c r="N49" s="121">
        <v>6335.8</v>
      </c>
      <c r="O49" s="121">
        <v>6963.2</v>
      </c>
      <c r="P49" s="121">
        <v>6314.5</v>
      </c>
      <c r="Q49" s="121">
        <v>6209</v>
      </c>
      <c r="R49" s="121">
        <v>6474.4</v>
      </c>
      <c r="S49" s="121">
        <v>6478.7</v>
      </c>
      <c r="T49" s="121">
        <v>6691.7</v>
      </c>
      <c r="U49" s="121">
        <v>6663.1</v>
      </c>
      <c r="V49" s="121">
        <v>6580.9</v>
      </c>
      <c r="W49" s="121">
        <v>6295.3</v>
      </c>
      <c r="X49" s="192">
        <v>9197.7999999999993</v>
      </c>
      <c r="Y49" s="192">
        <v>10111.1</v>
      </c>
      <c r="Z49" s="192">
        <v>8749.1</v>
      </c>
      <c r="AA49" s="192">
        <v>9227.1</v>
      </c>
      <c r="AB49" s="192">
        <v>9930.1</v>
      </c>
      <c r="AC49" s="192">
        <v>6147.4</v>
      </c>
      <c r="AD49" s="192">
        <v>9199.9</v>
      </c>
      <c r="AE49" s="192">
        <v>9440.1</v>
      </c>
      <c r="AF49" s="192">
        <v>9085.9</v>
      </c>
      <c r="AG49" s="192">
        <v>9078</v>
      </c>
      <c r="AH49" s="192">
        <v>9078.7000000000007</v>
      </c>
      <c r="AI49" s="192">
        <v>9224.4</v>
      </c>
      <c r="AJ49" s="136">
        <v>8055.3</v>
      </c>
      <c r="AK49" s="136">
        <v>8268.6</v>
      </c>
      <c r="AL49" s="136">
        <v>8078.3</v>
      </c>
      <c r="AM49" s="136">
        <v>8166.8</v>
      </c>
      <c r="AN49" s="136">
        <v>8098.8</v>
      </c>
      <c r="AO49" s="136">
        <v>8408.2000000000007</v>
      </c>
      <c r="AP49" s="136">
        <v>8242.7000000000007</v>
      </c>
      <c r="AQ49" s="136">
        <v>8155.3</v>
      </c>
      <c r="AR49" s="136">
        <v>1539.4</v>
      </c>
      <c r="AS49" s="136">
        <v>6642.9</v>
      </c>
      <c r="AT49" s="136">
        <v>6704.3</v>
      </c>
      <c r="AU49" s="136">
        <v>6667.5</v>
      </c>
      <c r="AV49" s="136">
        <v>6804.9</v>
      </c>
      <c r="AW49" s="136">
        <v>6570.8</v>
      </c>
      <c r="AX49" s="136">
        <v>9415.2999999999993</v>
      </c>
      <c r="AY49" s="136">
        <v>10380.6</v>
      </c>
      <c r="AZ49" s="136">
        <v>7715.5</v>
      </c>
      <c r="BA49" s="136">
        <v>9175</v>
      </c>
      <c r="BB49" s="136">
        <v>9147</v>
      </c>
      <c r="BC49" s="136">
        <v>7619</v>
      </c>
      <c r="BD49" s="136">
        <v>6472</v>
      </c>
      <c r="BE49" s="136">
        <v>8609</v>
      </c>
      <c r="BF49" s="136">
        <v>9389</v>
      </c>
      <c r="BG49" s="136">
        <v>9453</v>
      </c>
      <c r="BH49" s="136">
        <v>3402</v>
      </c>
      <c r="BI49" s="136">
        <v>3325</v>
      </c>
      <c r="BJ49" s="136">
        <v>6240</v>
      </c>
      <c r="BK49" s="136">
        <v>4562</v>
      </c>
      <c r="BL49" s="136">
        <v>5891</v>
      </c>
      <c r="BM49" s="136">
        <v>5976</v>
      </c>
      <c r="BN49" s="136">
        <v>6434</v>
      </c>
      <c r="BO49" s="136">
        <v>6062</v>
      </c>
      <c r="BP49" s="136">
        <v>6612</v>
      </c>
      <c r="BQ49" s="136">
        <v>6032</v>
      </c>
      <c r="BR49" s="136">
        <v>6795</v>
      </c>
      <c r="BS49" s="136">
        <v>3583</v>
      </c>
      <c r="BT49" s="136">
        <v>2837</v>
      </c>
      <c r="BU49" s="136">
        <v>1464</v>
      </c>
      <c r="BV49" s="136"/>
      <c r="BW49" s="136"/>
      <c r="BX49" s="136"/>
      <c r="BY49" s="136"/>
      <c r="BZ49" s="136">
        <v>977</v>
      </c>
      <c r="CA49" s="136">
        <v>821</v>
      </c>
      <c r="CB49" s="136">
        <v>3577</v>
      </c>
      <c r="CC49" s="136">
        <v>6374</v>
      </c>
      <c r="CD49" s="59">
        <v>5.0291793833333331</v>
      </c>
      <c r="CE49" s="59">
        <v>5.2711933333333318</v>
      </c>
      <c r="CF49" s="195">
        <v>5.0540594666666712</v>
      </c>
      <c r="CG49" s="195">
        <v>5.1416458500000086</v>
      </c>
      <c r="CH49" s="195">
        <v>0.70067843333333424</v>
      </c>
      <c r="CI49" s="195">
        <v>0.76439630000000136</v>
      </c>
      <c r="CJ49" s="59">
        <v>0.98661575000000012</v>
      </c>
      <c r="CK49" s="59">
        <v>0.8732916000000005</v>
      </c>
      <c r="CL49" s="195">
        <v>30.609363354037342</v>
      </c>
      <c r="CM49" s="195">
        <v>30.883146153846212</v>
      </c>
      <c r="CN49" s="195">
        <v>43.31430745341617</v>
      </c>
      <c r="CO49" s="195">
        <v>41.920611538461479</v>
      </c>
      <c r="CP49" s="195">
        <v>56.721218944099292</v>
      </c>
      <c r="CQ49" s="195">
        <v>56.668815384615378</v>
      </c>
      <c r="CR49" s="59">
        <v>8.6024844720496846E-3</v>
      </c>
      <c r="CS49" s="59">
        <v>0</v>
      </c>
      <c r="CT49" s="195">
        <v>1.1710527950310563</v>
      </c>
      <c r="CU49" s="195">
        <v>1.2461884615384613</v>
      </c>
      <c r="CV49" s="195">
        <v>3.7530000000000001</v>
      </c>
      <c r="CW49" s="247">
        <v>3.7829999999999999</v>
      </c>
      <c r="CX49" s="193">
        <f>IFERROR(AVERAGEIF(RD[[#This Row],[IS1POA1 (KWh/m2)]:[IS7POA2 (KWh/m2)]],"&lt;&gt;0",RD[[#This Row],[IS1POA1 (KWh/m2)]:[IS7POA2 (KWh/m2)]]),"")</f>
        <v>5.1501863583333325</v>
      </c>
      <c r="CY49" s="193">
        <f>IFERROR(AVERAGEIF(RD[[#This Row],[IS1GHI1 (KWh/m2)]:[IS7GHI2 (KWh/m2)]],"&lt;&gt;0",RD[[#This Row],[IS1GHI1 (KWh/m2)]:[IS7GHI2 (KWh/m2)]]),"")</f>
        <v>5.0978526583333394</v>
      </c>
      <c r="CZ49" s="193">
        <f>IFERROR(AVERAGEIF(RD[[#This Row],[IS1POA_BS1 (KWh/m2)]:[IS7POA_BS2 (KWh/m2)]],"&lt;&gt;0",RD[[#This Row],[IS1POA_BS1 (KWh/m2)]:[IS7POA_BS2 (KWh/m2)]]),"")</f>
        <v>0.7325373666666678</v>
      </c>
      <c r="DA49" s="193">
        <f>IFERROR(AVERAGEIF(RD[[#This Row],[IS1GHI_BS1 (KWh/m2)]:[IS1GHI_BS1 (KWh/m2)2]],"&lt;&gt;0",RD[[#This Row],[IS1GHI_BS1 (KWh/m2)]:[IS1GHI_BS1 (KWh/m2)2]]),"")</f>
        <v>0.92995367500000037</v>
      </c>
      <c r="DB49" s="193">
        <f>IFERROR(AVERAGEIF(RD[[#This Row],[IS1AT1 (°C)]:[IS7AT2 (°C)]],"&lt;&gt;0",RD[[#This Row],[IS1AT1 (°C)]:[IS7AT2 (°C)]]),"")</f>
        <v>30.746254753941777</v>
      </c>
      <c r="DC49" s="193">
        <f>IFERROR(AVERAGEIF(RD[[#This Row],[IS1MT1 (°C)]:[IS7MT2 (°C)]],"&lt;&gt;0",RD[[#This Row],[IS1MT1 (°C)]:[IS7MT2 (°C)]]),"")</f>
        <v>42.617459495938824</v>
      </c>
      <c r="DD49" s="193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193">
        <f>IFERROR(AVERAGEIF(RD[[#This Row],[WS_Solar1_Avg (m/s)]:[IS7_WS_Solar1_Avg (m/s)]],"&lt;&gt;0",RD[[#This Row],[WS_Solar1_Avg (m/s)]:[IS7_WS_Solar1_Avg (m/s)]]),"")</f>
        <v>1.2086206282847587</v>
      </c>
      <c r="DG49" s="193">
        <f>IFERROR(AVERAGEIF(RD[[#This Row],[WS_Solar1_Max (m/s)]:[IS7_WS_Solar1_Max (m/s)]],"&lt;&gt;0",RD[[#This Row],[WS_Solar1_Max (m/s)]:[IS7_WS_Solar1_Max (m/s)]]),"")</f>
        <v>3.7679999999999998</v>
      </c>
      <c r="DH49" s="193">
        <f>SUM(RD[[#This Row],[IS1Inv1M1]:[IS4Inv4M2]])</f>
        <v>212040.80000000002</v>
      </c>
      <c r="DI49" s="194">
        <f>SUM(RD[[#This Row],[IS7Inv1M1]]+RD[[#This Row],[IS7Inv2M1]])</f>
        <v>8182.2999999999993</v>
      </c>
      <c r="DJ49" s="193">
        <f>SUM(RD[[#This Row],[IS5Inv1M1]:[IS5Inv2M2]])</f>
        <v>32569</v>
      </c>
      <c r="DK49" s="193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75">
        <f>SUM(RD[[#This Row],[IS12Inv1M1]:[IS12Inv1M4]])</f>
        <v>25140</v>
      </c>
      <c r="DO49" s="275">
        <f>SUM(RD[[#This Row],[IS13Inv1M1]:[IS13Inv2M2]])</f>
        <v>14679</v>
      </c>
      <c r="DP49" s="193">
        <f>SUM(RD[[#This Row],[O2R15]:[O2R26]])</f>
        <v>480784</v>
      </c>
      <c r="DQ49" s="158">
        <v>39710</v>
      </c>
      <c r="DR49" s="162">
        <v>209.2</v>
      </c>
      <c r="DS49" s="158">
        <v>34316.1</v>
      </c>
      <c r="DT49" s="158">
        <v>221.4</v>
      </c>
      <c r="DU49" s="162">
        <v>39874.5</v>
      </c>
      <c r="DV49" s="162">
        <v>397.1</v>
      </c>
      <c r="DW49" s="158">
        <v>7755.8</v>
      </c>
      <c r="DX49" s="162">
        <v>35.1</v>
      </c>
      <c r="DY49" s="162"/>
      <c r="DZ49" s="162"/>
      <c r="EA49" s="134">
        <v>93.61</v>
      </c>
      <c r="EB49" s="230">
        <v>124986056</v>
      </c>
      <c r="EC49" s="229">
        <v>921149.63199999998</v>
      </c>
      <c r="ED49" s="230">
        <v>1105</v>
      </c>
      <c r="EE49" s="230">
        <v>119288</v>
      </c>
      <c r="EF49" s="158">
        <v>173339.1</v>
      </c>
      <c r="EG49" s="158">
        <v>1808.4</v>
      </c>
      <c r="EH49" s="140">
        <f>IF((RD[[#This Row],[33 kV_F3_Ex
Incomer1]]-DQ48)*1000&lt;0,0,(RD[[#This Row],[33 kV_F3_Ex
Incomer1]]-DQ48)*1000)</f>
        <v>107699.99999999709</v>
      </c>
      <c r="EI49" s="140">
        <f>IF((RD[[#This Row],[34 kV_F3_Im
Incomer1]]-DR48)*1000&lt;0,0,(RD[[#This Row],[34 kV_F3_Im
Incomer1]]-DR48)*1000)</f>
        <v>399.99999999997726</v>
      </c>
      <c r="EJ49" s="140">
        <f>IF((RD[[#This Row],[33 kV_F4_Ex
Incomer2]]-DS48)*1000&lt;0,0,(RD[[#This Row],[33 kV_F4_Ex
Incomer2]]-DS48)*1000)</f>
        <v>100400.00000000146</v>
      </c>
      <c r="EK49" s="140">
        <f>IF((RD[[#This Row],[34 kV_F4_Im
Incomer2]]-DT48)*1000&lt;0,0,(RD[[#This Row],[34 kV_F4_Im
Incomer2]]-DT48)*1000)</f>
        <v>400.00000000000568</v>
      </c>
      <c r="EL49" s="140">
        <f>IF((RD[[#This Row],[33 kV_F5_Ex
Incomer3]]-DU48)*1000&lt;0,0,(RD[[#This Row],[33 kV_F5_Ex
Incomer3]]-DU48)*1000)</f>
        <v>140199.99999999709</v>
      </c>
      <c r="EM49" s="140">
        <f>IF((RD[[#This Row],[34 kV_F5_Im
Incomer3]]-DV48)*1000&lt;0,0,(RD[[#This Row],[34 kV_F5_Im
Incomer3]]-DV48)*1000)</f>
        <v>700.00000000004547</v>
      </c>
      <c r="EN49" s="140">
        <f>IF((RD[[#This Row],[33 kV_F6_Ex
Incomer4]]-DW48)*1000&lt;0,0,(RD[[#This Row],[33 kV_F6_Ex
Incomer4]]-DW48)*1000)</f>
        <v>129100.00000000036</v>
      </c>
      <c r="EO49" s="140">
        <f>IF((RD[[#This Row],[33 kV_F6_Im
Incomer4]]-DX48)*1000&lt;0,0,(RD[[#This Row],[33 kV_F6_Im
Incomer4]]-DX48)*1000)</f>
        <v>1000</v>
      </c>
      <c r="EP49" s="140">
        <f>IF((RD[[#This Row],[33 kV_F7_Ex
Incomer5]]-DY48)*1000&lt;0,0,(RD[[#This Row],[33 kV_F7_Ex
Incomer5]]-DY48)*1000)</f>
        <v>0</v>
      </c>
      <c r="EQ49" s="140">
        <f>IF((RD[[#This Row],[33 kV_F7_Im
Incomer5]]-DZ48)*1000&lt;0,0,(RD[[#This Row],[33 kV_F7_Im
Incomer5]]-DZ48)*1000)</f>
        <v>0</v>
      </c>
      <c r="ER49" s="140">
        <f>IF((RD[[#This Row],[33 kV_Aux Trafo]]-EA48)*1000&lt;0,0,(RD[[#This Row],[33 kV_Aux Trafo]]-EA48)*1000)</f>
        <v>250</v>
      </c>
      <c r="ES49" s="152">
        <f>IF((RD[[#This Row],[33kV_OG1_Ex_]]-EB48)*1&lt;0,0,(RD[[#This Row],[33kV_OG1_Ex_]]-EB48)*1)</f>
        <v>478486</v>
      </c>
      <c r="ET49" s="140">
        <f>IF((RD[[#This Row],[33kV_OG1_Im]]-EC48)*1&lt;0,0,(RD[[#This Row],[33kV_OG1_Im]]-EC48)*1)</f>
        <v>2554.7519999999786</v>
      </c>
      <c r="EU49" s="140">
        <f>IF((RD[[#This Row],[132kV_TX1_EX]]-ED48)*720&lt;=0,"",(RD[[#This Row],[132kV_TX1_EX]]-ED48)*720)</f>
        <v>2160</v>
      </c>
      <c r="EV49" s="140">
        <f>IF((RD[[#This Row],[132 kV_Tx1_Im]]-EE48)*720&lt;=0,0,(RD[[#This Row],[132 kV_Tx1_Im]]-EE48)*720)</f>
        <v>343440</v>
      </c>
      <c r="EW49" s="140">
        <f>IF((RD[[#This Row],[132kV_L1_Ex]]-EF48)*720&lt;=0,0,(RD[[#This Row],[132kV_L1_Ex]]-EF48)*720)</f>
        <v>476784.00000000838</v>
      </c>
      <c r="EX49" s="140">
        <f>IF((RD[[#This Row],[132kV_L1_Im]]-EG48)*720&lt;=0,0,(RD[[#This Row],[132kV_L1_Im]]-EG48)*720)</f>
        <v>3096.000000000131</v>
      </c>
      <c r="EY49" s="231">
        <f>IFERROR(RD[[#This Row],[33kV_OG1_Ex (MWh)]]+RD[[#This Row],[33kV_OG1_Im (MWh)]],"")</f>
        <v>481040.75199999998</v>
      </c>
      <c r="EZ49" s="142">
        <f>RD[[#This Row],[33kV_OG1_Ex (MWh)]]-RD[[#This Row],[33kV_OG1_Im (MWh)]]</f>
        <v>475931.24800000002</v>
      </c>
      <c r="FA49" s="142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32">
        <v>12.4</v>
      </c>
      <c r="FD49" s="233">
        <v>111</v>
      </c>
      <c r="FE49" t="s">
        <v>281</v>
      </c>
      <c r="FG49" s="138" t="str">
        <f>IFERROR(RD[[#This Row],[E_AC (WPR)]]/RD[[#This Row],[E_DC (WPR)]],"")</f>
        <v/>
      </c>
    </row>
    <row r="50" spans="1:163">
      <c r="A50" s="130">
        <f t="shared" si="159"/>
        <v>45790</v>
      </c>
      <c r="B50" s="132">
        <f>YEAR(RD[[#This Row],[Date]])+IF(MONTH(RD[[#This Row],[Date]])&gt;=4,1,0)</f>
        <v>2026</v>
      </c>
      <c r="C50" s="132">
        <f>YEAR(RD[[#This Row],[Date]])</f>
        <v>2025</v>
      </c>
      <c r="D50" s="133">
        <f t="shared" si="160"/>
        <v>45778</v>
      </c>
      <c r="E50" s="132">
        <f>DAY(EOMONTH(RD[[#This Row],[Date]],0))</f>
        <v>31</v>
      </c>
      <c r="F50" s="146">
        <v>0.27708333333333335</v>
      </c>
      <c r="G50" s="156">
        <v>0.76944444444444449</v>
      </c>
      <c r="H50" s="121">
        <v>4633.6000000000004</v>
      </c>
      <c r="I50" s="121">
        <v>4482.6000000000004</v>
      </c>
      <c r="J50" s="121">
        <v>4244.8999999999996</v>
      </c>
      <c r="K50" s="121">
        <v>4323.7</v>
      </c>
      <c r="L50" s="121">
        <v>4449.7</v>
      </c>
      <c r="M50" s="121">
        <v>4624.2</v>
      </c>
      <c r="N50" s="121">
        <v>4417.8999999999996</v>
      </c>
      <c r="O50" s="121">
        <v>4962.7</v>
      </c>
      <c r="P50" s="121">
        <v>4493.6000000000004</v>
      </c>
      <c r="Q50" s="121">
        <v>4399.3999999999996</v>
      </c>
      <c r="R50" s="121">
        <v>4558.6000000000004</v>
      </c>
      <c r="S50" s="121">
        <v>4497</v>
      </c>
      <c r="T50" s="121">
        <v>4751.8999999999996</v>
      </c>
      <c r="U50" s="121">
        <v>4577.6000000000004</v>
      </c>
      <c r="V50" s="121">
        <v>4679.5</v>
      </c>
      <c r="W50" s="121">
        <v>4435.8999999999996</v>
      </c>
      <c r="X50" s="192">
        <v>6242.3</v>
      </c>
      <c r="Y50" s="192">
        <v>7042.3</v>
      </c>
      <c r="Z50" s="192">
        <v>6074.4</v>
      </c>
      <c r="AA50" s="192">
        <v>6380.9</v>
      </c>
      <c r="AB50" s="192">
        <v>6811.4</v>
      </c>
      <c r="AC50" s="192">
        <v>4130.8999999999996</v>
      </c>
      <c r="AD50" s="192">
        <v>6194.1</v>
      </c>
      <c r="AE50" s="192">
        <v>6350.7</v>
      </c>
      <c r="AF50" s="192">
        <v>6208.1</v>
      </c>
      <c r="AG50" s="192">
        <v>6184.7</v>
      </c>
      <c r="AH50" s="192">
        <v>6217.9</v>
      </c>
      <c r="AI50" s="192">
        <v>6265.1</v>
      </c>
      <c r="AJ50" s="136">
        <v>5286.5</v>
      </c>
      <c r="AK50" s="136">
        <v>5443.9</v>
      </c>
      <c r="AL50" s="136">
        <v>5350.4</v>
      </c>
      <c r="AM50" s="136">
        <v>5414.7</v>
      </c>
      <c r="AN50" s="136">
        <v>5359.9</v>
      </c>
      <c r="AO50" s="136">
        <v>5583.3</v>
      </c>
      <c r="AP50" s="136">
        <v>5449.6</v>
      </c>
      <c r="AQ50" s="136">
        <v>5433.9</v>
      </c>
      <c r="AR50" s="136">
        <v>1539.4</v>
      </c>
      <c r="AS50" s="136">
        <v>4428.8</v>
      </c>
      <c r="AT50" s="136">
        <v>4415.3</v>
      </c>
      <c r="AU50" s="136">
        <v>4370.3999999999996</v>
      </c>
      <c r="AV50" s="136">
        <v>4507.8</v>
      </c>
      <c r="AW50" s="136">
        <v>4446.3</v>
      </c>
      <c r="AX50" s="136">
        <v>6183.9</v>
      </c>
      <c r="AY50" s="136">
        <v>7057.9</v>
      </c>
      <c r="AZ50" s="136">
        <v>5169.2</v>
      </c>
      <c r="BA50" s="136">
        <v>6266</v>
      </c>
      <c r="BB50" s="136">
        <v>6098.8</v>
      </c>
      <c r="BC50" s="136">
        <v>5136</v>
      </c>
      <c r="BD50" s="136">
        <v>4333.8999999999996</v>
      </c>
      <c r="BE50" s="136">
        <v>5835.6</v>
      </c>
      <c r="BF50" s="136">
        <v>9050</v>
      </c>
      <c r="BG50" s="136">
        <v>9175</v>
      </c>
      <c r="BH50" s="136">
        <v>3623.3</v>
      </c>
      <c r="BI50" s="136">
        <v>1525.1</v>
      </c>
      <c r="BJ50" s="136">
        <v>4122.5</v>
      </c>
      <c r="BK50" s="136">
        <v>2393.1999999999998</v>
      </c>
      <c r="BL50" s="136">
        <v>3950.6</v>
      </c>
      <c r="BM50" s="136">
        <v>3975.2</v>
      </c>
      <c r="BN50" s="136">
        <v>4353.2</v>
      </c>
      <c r="BO50" s="136">
        <v>4117.3999999999996</v>
      </c>
      <c r="BP50" s="136">
        <v>4532.3</v>
      </c>
      <c r="BQ50" s="136">
        <v>4043</v>
      </c>
      <c r="BR50" s="136">
        <v>4670.3</v>
      </c>
      <c r="BS50" s="136">
        <v>2579.9</v>
      </c>
      <c r="BT50" s="136">
        <v>1915.9</v>
      </c>
      <c r="BU50" s="136">
        <v>976.3</v>
      </c>
      <c r="BV50" s="136"/>
      <c r="BW50" s="136"/>
      <c r="BX50" s="136"/>
      <c r="BY50" s="136"/>
      <c r="BZ50" s="136">
        <v>627.29999999999995</v>
      </c>
      <c r="CA50" s="136">
        <v>521.5</v>
      </c>
      <c r="CB50" s="136">
        <v>2508.4</v>
      </c>
      <c r="CC50" s="136">
        <v>4341.8999999999996</v>
      </c>
      <c r="CD50" s="59">
        <v>3.2975159666666678</v>
      </c>
      <c r="CE50" s="59">
        <v>3.3833456666666679</v>
      </c>
      <c r="CF50" s="195">
        <v>3.4430666666666658</v>
      </c>
      <c r="CG50" s="195">
        <v>3.4629116666666602</v>
      </c>
      <c r="CH50" s="195">
        <v>0.39894789999999991</v>
      </c>
      <c r="CI50" s="195">
        <v>0.53684808333333356</v>
      </c>
      <c r="CJ50" s="59">
        <v>0.63484161666666683</v>
      </c>
      <c r="CK50" s="59">
        <v>0.56911154999999991</v>
      </c>
      <c r="CL50" s="195">
        <v>30.263802704852782</v>
      </c>
      <c r="CM50" s="195">
        <v>30.510841269841301</v>
      </c>
      <c r="CN50" s="195">
        <v>41.158244232299218</v>
      </c>
      <c r="CO50" s="195">
        <v>39.443309523809468</v>
      </c>
      <c r="CP50" s="195">
        <v>58.046793953858327</v>
      </c>
      <c r="CQ50" s="195">
        <v>58.342634920634829</v>
      </c>
      <c r="CR50" s="59">
        <v>0</v>
      </c>
      <c r="CS50" s="59">
        <v>0</v>
      </c>
      <c r="CT50" s="195">
        <v>1.1238162291169473</v>
      </c>
      <c r="CU50" s="195">
        <v>1.2337761904761899</v>
      </c>
      <c r="CV50" s="195">
        <v>1.2337761904761899</v>
      </c>
      <c r="CW50" s="247">
        <v>2.7450000000000001</v>
      </c>
      <c r="CX50" s="193">
        <f>IFERROR(AVERAGEIF(RD[[#This Row],[IS1POA1 (KWh/m2)]:[IS7POA2 (KWh/m2)]],"&lt;&gt;0",RD[[#This Row],[IS1POA1 (KWh/m2)]:[IS7POA2 (KWh/m2)]]),"")</f>
        <v>3.3404308166666681</v>
      </c>
      <c r="CY50" s="193">
        <f>IFERROR(AVERAGEIF(RD[[#This Row],[IS1GHI1 (KWh/m2)]:[IS7GHI2 (KWh/m2)]],"&lt;&gt;0",RD[[#This Row],[IS1GHI1 (KWh/m2)]:[IS7GHI2 (KWh/m2)]]),"")</f>
        <v>3.4529891666666632</v>
      </c>
      <c r="CZ50" s="193">
        <f>IFERROR(AVERAGEIF(RD[[#This Row],[IS1POA_BS1 (KWh/m2)]:[IS7POA_BS2 (KWh/m2)]],"&lt;&gt;0",RD[[#This Row],[IS1POA_BS1 (KWh/m2)]:[IS7POA_BS2 (KWh/m2)]]),"")</f>
        <v>0.46789799166666673</v>
      </c>
      <c r="DA50" s="193">
        <f>IFERROR(AVERAGEIF(RD[[#This Row],[IS1GHI_BS1 (KWh/m2)]:[IS1GHI_BS1 (KWh/m2)2]],"&lt;&gt;0",RD[[#This Row],[IS1GHI_BS1 (KWh/m2)]:[IS1GHI_BS1 (KWh/m2)2]]),"")</f>
        <v>0.60197658333333337</v>
      </c>
      <c r="DB50" s="193">
        <f>IFERROR(AVERAGEIF(RD[[#This Row],[IS1AT1 (°C)]:[IS7AT2 (°C)]],"&lt;&gt;0",RD[[#This Row],[IS1AT1 (°C)]:[IS7AT2 (°C)]]),"")</f>
        <v>30.387321987347043</v>
      </c>
      <c r="DC50" s="193">
        <f>IFERROR(AVERAGEIF(RD[[#This Row],[IS1MT1 (°C)]:[IS7MT2 (°C)]],"&lt;&gt;0",RD[[#This Row],[IS1MT1 (°C)]:[IS7MT2 (°C)]]),"")</f>
        <v>40.300776878054343</v>
      </c>
      <c r="DD50" s="193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193">
        <f>IFERROR(AVERAGEIF(RD[[#This Row],[WS_Solar1_Avg (m/s)]:[IS7_WS_Solar1_Avg (m/s)]],"&lt;&gt;0",RD[[#This Row],[WS_Solar1_Avg (m/s)]:[IS7_WS_Solar1_Avg (m/s)]]),"")</f>
        <v>1.1787962097965687</v>
      </c>
      <c r="DG50" s="193">
        <f>IFERROR(AVERAGEIF(RD[[#This Row],[WS_Solar1_Max (m/s)]:[IS7_WS_Solar1_Max (m/s)]],"&lt;&gt;0",RD[[#This Row],[WS_Solar1_Max (m/s)]:[IS7_WS_Solar1_Max (m/s)]]),"")</f>
        <v>1.9893880952380951</v>
      </c>
      <c r="DH50" s="193">
        <f>SUM(RD[[#This Row],[IS1Inv1M1]:[IS4Inv4M2]])</f>
        <v>146635.59999999998</v>
      </c>
      <c r="DI50" s="194">
        <f>SUM(RD[[#This Row],[IS7Inv1M1]]+RD[[#This Row],[IS7Inv2M1]])</f>
        <v>5968.2000000000007</v>
      </c>
      <c r="DJ50" s="193">
        <f>SUM(RD[[#This Row],[IS5Inv1M1]:[IS5Inv2M2]])</f>
        <v>21495.5</v>
      </c>
      <c r="DK50" s="193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75">
        <f>SUM(RD[[#This Row],[IS12Inv1M1]:[IS12Inv1M4]])</f>
        <v>17045.899999999998</v>
      </c>
      <c r="DO50" s="275">
        <f>SUM(RD[[#This Row],[IS13Inv1M1]:[IS13Inv2M2]])</f>
        <v>10142.4</v>
      </c>
      <c r="DP50" s="193">
        <f>SUM(RD[[#This Row],[O2R15]:[O2R26]])</f>
        <v>332749.40000000002</v>
      </c>
      <c r="DQ50" s="158">
        <v>39783.699999999997</v>
      </c>
      <c r="DR50" s="162">
        <v>209.7</v>
      </c>
      <c r="DS50" s="158">
        <v>34387.599999999999</v>
      </c>
      <c r="DT50" s="158">
        <v>221.8</v>
      </c>
      <c r="DU50" s="162">
        <v>39968.300000000003</v>
      </c>
      <c r="DV50" s="162">
        <v>397.9</v>
      </c>
      <c r="DW50" s="158">
        <v>7843.8</v>
      </c>
      <c r="DX50" s="162">
        <v>36.1</v>
      </c>
      <c r="DY50" s="162"/>
      <c r="DZ50" s="162"/>
      <c r="EA50" s="134">
        <v>93.88</v>
      </c>
      <c r="EB50" s="230">
        <v>125313302</v>
      </c>
      <c r="EC50" s="229">
        <v>923961.34400000004</v>
      </c>
      <c r="ED50" s="230">
        <v>1108</v>
      </c>
      <c r="EE50" s="230">
        <v>119614</v>
      </c>
      <c r="EF50" s="158">
        <v>173792.1</v>
      </c>
      <c r="EG50" s="158">
        <v>1813.2</v>
      </c>
      <c r="EH50" s="140">
        <f>IF((RD[[#This Row],[33 kV_F3_Ex
Incomer1]]-DQ49)*1000&lt;0,0,(RD[[#This Row],[33 kV_F3_Ex
Incomer1]]-DQ49)*1000)</f>
        <v>73699.99999999709</v>
      </c>
      <c r="EI50" s="140">
        <f>IF((RD[[#This Row],[34 kV_F3_Im
Incomer1]]-DR49)*1000&lt;0,0,(RD[[#This Row],[34 kV_F3_Im
Incomer1]]-DR49)*1000)</f>
        <v>500</v>
      </c>
      <c r="EJ50" s="140">
        <f>IF((RD[[#This Row],[33 kV_F4_Ex
Incomer2]]-DS49)*1000&lt;0,0,(RD[[#This Row],[33 kV_F4_Ex
Incomer2]]-DS49)*1000)</f>
        <v>71500</v>
      </c>
      <c r="EK50" s="140">
        <f>IF((RD[[#This Row],[34 kV_F4_Im
Incomer2]]-DT49)*1000&lt;0,0,(RD[[#This Row],[34 kV_F4_Im
Incomer2]]-DT49)*1000)</f>
        <v>400.00000000000568</v>
      </c>
      <c r="EL50" s="140">
        <f>IF((RD[[#This Row],[33 kV_F5_Ex
Incomer3]]-DU49)*1000&lt;0,0,(RD[[#This Row],[33 kV_F5_Ex
Incomer3]]-DU49)*1000)</f>
        <v>93800.00000000291</v>
      </c>
      <c r="EM50" s="140">
        <f>IF((RD[[#This Row],[34 kV_F5_Im
Incomer3]]-DV49)*1000&lt;0,0,(RD[[#This Row],[34 kV_F5_Im
Incomer3]]-DV49)*1000)</f>
        <v>799.99999999995453</v>
      </c>
      <c r="EN50" s="140">
        <f>IF((RD[[#This Row],[33 kV_F6_Ex
Incomer4]]-DW49)*1000&lt;0,0,(RD[[#This Row],[33 kV_F6_Ex
Incomer4]]-DW49)*1000)</f>
        <v>88000</v>
      </c>
      <c r="EO50" s="140">
        <f>IF((RD[[#This Row],[33 kV_F6_Im
Incomer4]]-DX49)*1000&lt;0,0,(RD[[#This Row],[33 kV_F6_Im
Incomer4]]-DX49)*1000)</f>
        <v>1000</v>
      </c>
      <c r="EP50" s="140">
        <f>IF((RD[[#This Row],[33 kV_F7_Ex
Incomer5]]-DY49)*1000&lt;0,0,(RD[[#This Row],[33 kV_F7_Ex
Incomer5]]-DY49)*1000)</f>
        <v>0</v>
      </c>
      <c r="EQ50" s="140">
        <f>IF((RD[[#This Row],[33 kV_F7_Im
Incomer5]]-DZ49)*1000&lt;0,0,(RD[[#This Row],[33 kV_F7_Im
Incomer5]]-DZ49)*1000)</f>
        <v>0</v>
      </c>
      <c r="ER50" s="140">
        <f>IF((RD[[#This Row],[33 kV_Aux Trafo]]-EA49)*1000&lt;0,0,(RD[[#This Row],[33 kV_Aux Trafo]]-EA49)*1000)</f>
        <v>269.99999999999602</v>
      </c>
      <c r="ES50" s="152">
        <f>IF((RD[[#This Row],[33kV_OG1_Ex_]]-EB49)*1&lt;0,0,(RD[[#This Row],[33kV_OG1_Ex_]]-EB49)*1)</f>
        <v>327246</v>
      </c>
      <c r="ET50" s="140">
        <f>IF((RD[[#This Row],[33kV_OG1_Im]]-EC49)*1&lt;0,0,(RD[[#This Row],[33kV_OG1_Im]]-EC49)*1)</f>
        <v>2811.7120000000577</v>
      </c>
      <c r="EU50" s="140">
        <f>IF((RD[[#This Row],[132kV_TX1_EX]]-ED49)*720&lt;=0,"",(RD[[#This Row],[132kV_TX1_EX]]-ED49)*720)</f>
        <v>2160</v>
      </c>
      <c r="EV50" s="140">
        <f>IF((RD[[#This Row],[132 kV_Tx1_Im]]-EE49)*720&lt;=0,0,(RD[[#This Row],[132 kV_Tx1_Im]]-EE49)*720)</f>
        <v>234720</v>
      </c>
      <c r="EW50" s="140">
        <f>IF((RD[[#This Row],[132kV_L1_Ex]]-EF49)*720&lt;=0,0,(RD[[#This Row],[132kV_L1_Ex]]-EF49)*720)</f>
        <v>326160</v>
      </c>
      <c r="EX50" s="140">
        <f>IF((RD[[#This Row],[132kV_L1_Im]]-EG49)*720&lt;=0,0,(RD[[#This Row],[132kV_L1_Im]]-EG49)*720)</f>
        <v>3455.9999999999673</v>
      </c>
      <c r="EY50" s="231">
        <f>IFERROR(RD[[#This Row],[33kV_OG1_Ex (MWh)]]+RD[[#This Row],[33kV_OG1_Im (MWh)]],"")</f>
        <v>330057.71200000006</v>
      </c>
      <c r="EZ50" s="142">
        <f>RD[[#This Row],[33kV_OG1_Ex (MWh)]]-RD[[#This Row],[33kV_OG1_Im (MWh)]]</f>
        <v>324434.28799999994</v>
      </c>
      <c r="FA50" s="142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32">
        <v>12.4</v>
      </c>
      <c r="FD50" s="233">
        <v>111</v>
      </c>
      <c r="FE50" t="s">
        <v>282</v>
      </c>
      <c r="FG50" s="138" t="str">
        <f>IFERROR(RD[[#This Row],[E_AC (WPR)]]/RD[[#This Row],[E_DC (WPR)]],"")</f>
        <v/>
      </c>
    </row>
    <row r="51" spans="1:163">
      <c r="A51" s="130">
        <f t="shared" si="159"/>
        <v>45791</v>
      </c>
      <c r="B51" s="132">
        <f>YEAR(RD[[#This Row],[Date]])+IF(MONTH(RD[[#This Row],[Date]])&gt;=4,1,0)</f>
        <v>2026</v>
      </c>
      <c r="C51" s="132">
        <f>YEAR(RD[[#This Row],[Date]])</f>
        <v>2025</v>
      </c>
      <c r="D51" s="133">
        <f t="shared" si="160"/>
        <v>45778</v>
      </c>
      <c r="E51" s="132">
        <f>DAY(EOMONTH(RD[[#This Row],[Date]],0))</f>
        <v>31</v>
      </c>
      <c r="F51" s="146">
        <v>0.26180555555555557</v>
      </c>
      <c r="G51" s="156">
        <v>0.7680555555555556</v>
      </c>
      <c r="H51" s="121">
        <v>6118.3</v>
      </c>
      <c r="I51" s="121">
        <v>5926.4</v>
      </c>
      <c r="J51" s="121">
        <v>5629.2</v>
      </c>
      <c r="K51" s="121">
        <v>5730.8</v>
      </c>
      <c r="L51" s="121">
        <v>5877.4</v>
      </c>
      <c r="M51" s="121">
        <v>6080</v>
      </c>
      <c r="N51" s="121">
        <v>5836</v>
      </c>
      <c r="O51" s="121">
        <v>6531.7</v>
      </c>
      <c r="P51" s="121">
        <v>5979.8</v>
      </c>
      <c r="Q51" s="121">
        <v>5818.3</v>
      </c>
      <c r="R51" s="121">
        <v>6041.1</v>
      </c>
      <c r="S51" s="121">
        <v>5997.9</v>
      </c>
      <c r="T51" s="121">
        <v>6327.5</v>
      </c>
      <c r="U51" s="121">
        <v>6089.1</v>
      </c>
      <c r="V51" s="121">
        <v>6230.8</v>
      </c>
      <c r="W51" s="121">
        <v>5957.2</v>
      </c>
      <c r="X51" s="192">
        <v>7754</v>
      </c>
      <c r="Y51" s="192">
        <v>8775</v>
      </c>
      <c r="Z51" s="192">
        <v>7603.5</v>
      </c>
      <c r="AA51" s="192">
        <v>8006.6</v>
      </c>
      <c r="AB51" s="192">
        <v>8510.5</v>
      </c>
      <c r="AC51" s="192">
        <v>5179.1000000000004</v>
      </c>
      <c r="AD51" s="192">
        <v>7756.6</v>
      </c>
      <c r="AE51" s="192">
        <v>7943.1</v>
      </c>
      <c r="AF51" s="192">
        <v>7749</v>
      </c>
      <c r="AG51" s="192">
        <v>7685.8</v>
      </c>
      <c r="AH51" s="192">
        <v>7767.4</v>
      </c>
      <c r="AI51" s="192">
        <v>7790.3</v>
      </c>
      <c r="AJ51" s="136">
        <v>6841.9</v>
      </c>
      <c r="AK51" s="136">
        <v>7054.3</v>
      </c>
      <c r="AL51" s="136">
        <v>6852.5</v>
      </c>
      <c r="AM51" s="136">
        <v>6915.3</v>
      </c>
      <c r="AN51" s="136">
        <v>6897.4</v>
      </c>
      <c r="AO51" s="136">
        <v>7129.7</v>
      </c>
      <c r="AP51" s="136">
        <v>6978.9</v>
      </c>
      <c r="AQ51" s="136">
        <v>6918.1</v>
      </c>
      <c r="AR51" s="136">
        <v>5578.6</v>
      </c>
      <c r="AS51" s="136">
        <v>5624.3</v>
      </c>
      <c r="AT51" s="136">
        <v>5679.6</v>
      </c>
      <c r="AU51" s="136">
        <v>5619.4</v>
      </c>
      <c r="AV51" s="136">
        <v>5756.4</v>
      </c>
      <c r="AW51" s="136">
        <v>5652.1</v>
      </c>
      <c r="AX51" s="136">
        <v>7884.7</v>
      </c>
      <c r="AY51" s="136">
        <v>8922.7999999999993</v>
      </c>
      <c r="AZ51" s="136">
        <v>6459.9</v>
      </c>
      <c r="BA51" s="136">
        <v>7838.3</v>
      </c>
      <c r="BB51" s="136">
        <v>8246.2999999999993</v>
      </c>
      <c r="BC51" s="136">
        <v>6904.9</v>
      </c>
      <c r="BD51" s="136">
        <v>5781</v>
      </c>
      <c r="BE51" s="136">
        <v>7794.7</v>
      </c>
      <c r="BF51" s="136">
        <v>1123</v>
      </c>
      <c r="BG51" s="136">
        <v>1113.5</v>
      </c>
      <c r="BH51" s="136">
        <v>5294</v>
      </c>
      <c r="BI51" s="136">
        <v>3559.1</v>
      </c>
      <c r="BJ51" s="136">
        <v>5465.7</v>
      </c>
      <c r="BK51" s="136">
        <v>3095.7</v>
      </c>
      <c r="BL51" s="136">
        <v>5203.1000000000004</v>
      </c>
      <c r="BM51" s="136">
        <v>5272.3</v>
      </c>
      <c r="BN51" s="136">
        <v>5838.8</v>
      </c>
      <c r="BO51" s="136">
        <v>5455.9</v>
      </c>
      <c r="BP51" s="136">
        <v>6128.6</v>
      </c>
      <c r="BQ51" s="136">
        <v>5579</v>
      </c>
      <c r="BR51" s="136">
        <v>6108.4</v>
      </c>
      <c r="BS51" s="136">
        <v>3863.6</v>
      </c>
      <c r="BT51" s="136">
        <v>2500.1</v>
      </c>
      <c r="BU51" s="136">
        <v>1406.9</v>
      </c>
      <c r="BV51" s="136"/>
      <c r="BW51" s="136"/>
      <c r="BX51" s="136"/>
      <c r="BY51" s="136"/>
      <c r="BZ51" s="136">
        <v>862.3</v>
      </c>
      <c r="CA51" s="136">
        <v>721.3</v>
      </c>
      <c r="CB51" s="136">
        <v>3313.7</v>
      </c>
      <c r="CC51" s="136">
        <v>5698.7</v>
      </c>
      <c r="CD51" s="59">
        <v>4.4298657499999976</v>
      </c>
      <c r="CE51" s="59">
        <v>4.2536578499999953</v>
      </c>
      <c r="CF51" s="195">
        <v>4.7243235333333313</v>
      </c>
      <c r="CG51" s="195">
        <v>4.3613279333333352</v>
      </c>
      <c r="CH51" s="195">
        <v>0.49736919999999962</v>
      </c>
      <c r="CI51" s="195">
        <v>0.68891694999999942</v>
      </c>
      <c r="CJ51" s="59">
        <v>0.8705549166666664</v>
      </c>
      <c r="CK51" s="59">
        <v>0.72542579999999934</v>
      </c>
      <c r="CL51" s="195">
        <v>31.283929712459944</v>
      </c>
      <c r="CM51" s="195">
        <v>31.479534136546217</v>
      </c>
      <c r="CN51" s="195">
        <v>43.882380990415392</v>
      </c>
      <c r="CO51" s="195">
        <v>41.629840963855379</v>
      </c>
      <c r="CP51" s="195">
        <v>54.087939297124549</v>
      </c>
      <c r="CQ51" s="195">
        <v>54.335194377509872</v>
      </c>
      <c r="CR51" s="59">
        <v>0</v>
      </c>
      <c r="CS51" s="59">
        <v>0</v>
      </c>
      <c r="CT51" s="195">
        <v>1.2172212460063909</v>
      </c>
      <c r="CU51" s="195">
        <v>1.3202690763052227</v>
      </c>
      <c r="CV51" s="195">
        <v>2.1509999999999998</v>
      </c>
      <c r="CW51" s="247">
        <v>2.7749999999999999</v>
      </c>
      <c r="CX51" s="193">
        <f>IFERROR(AVERAGEIF(RD[[#This Row],[IS1POA1 (KWh/m2)]:[IS7POA2 (KWh/m2)]],"&lt;&gt;0",RD[[#This Row],[IS1POA1 (KWh/m2)]:[IS7POA2 (KWh/m2)]]),"")</f>
        <v>4.3417617999999969</v>
      </c>
      <c r="CY51" s="193">
        <f>IFERROR(AVERAGEIF(RD[[#This Row],[IS1GHI1 (KWh/m2)]:[IS7GHI2 (KWh/m2)]],"&lt;&gt;0",RD[[#This Row],[IS1GHI1 (KWh/m2)]:[IS7GHI2 (KWh/m2)]]),"")</f>
        <v>4.5428257333333333</v>
      </c>
      <c r="CZ51" s="193">
        <f>IFERROR(AVERAGEIF(RD[[#This Row],[IS1POA_BS1 (KWh/m2)]:[IS7POA_BS2 (KWh/m2)]],"&lt;&gt;0",RD[[#This Row],[IS1POA_BS1 (KWh/m2)]:[IS7POA_BS2 (KWh/m2)]]),"")</f>
        <v>0.59314307499999952</v>
      </c>
      <c r="DA51" s="193">
        <f>IFERROR(AVERAGEIF(RD[[#This Row],[IS1GHI_BS1 (KWh/m2)]:[IS1GHI_BS1 (KWh/m2)2]],"&lt;&gt;0",RD[[#This Row],[IS1GHI_BS1 (KWh/m2)]:[IS1GHI_BS1 (KWh/m2)2]]),"")</f>
        <v>0.79799035833333287</v>
      </c>
      <c r="DB51" s="193">
        <f>IFERROR(AVERAGEIF(RD[[#This Row],[IS1AT1 (°C)]:[IS7AT2 (°C)]],"&lt;&gt;0",RD[[#This Row],[IS1AT1 (°C)]:[IS7AT2 (°C)]]),"")</f>
        <v>31.381731924503079</v>
      </c>
      <c r="DC51" s="193">
        <f>IFERROR(AVERAGEIF(RD[[#This Row],[IS1MT1 (°C)]:[IS7MT2 (°C)]],"&lt;&gt;0",RD[[#This Row],[IS1MT1 (°C)]:[IS7MT2 (°C)]]),"")</f>
        <v>42.756110977135386</v>
      </c>
      <c r="DD51" s="193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193">
        <f>IFERROR(AVERAGEIF(RD[[#This Row],[WS_Solar1_Avg (m/s)]:[IS7_WS_Solar1_Avg (m/s)]],"&lt;&gt;0",RD[[#This Row],[WS_Solar1_Avg (m/s)]:[IS7_WS_Solar1_Avg (m/s)]]),"")</f>
        <v>1.2687451611558069</v>
      </c>
      <c r="DG51" s="193">
        <f>IFERROR(AVERAGEIF(RD[[#This Row],[WS_Solar1_Max (m/s)]:[IS7_WS_Solar1_Max (m/s)]],"&lt;&gt;0",RD[[#This Row],[WS_Solar1_Max (m/s)]:[IS7_WS_Solar1_Max (m/s)]]),"")</f>
        <v>2.4630000000000001</v>
      </c>
      <c r="DH51" s="193">
        <f>SUM(RD[[#This Row],[IS1Inv1M1]:[IS4Inv4M2]])</f>
        <v>188692.4</v>
      </c>
      <c r="DI51" s="194">
        <f>SUM(RD[[#This Row],[IS7Inv1M1]]+RD[[#This Row],[IS7Inv2M1]])</f>
        <v>11202.900000000001</v>
      </c>
      <c r="DJ51" s="193">
        <f>SUM(RD[[#This Row],[IS5Inv1M1]:[IS5Inv2M2]])</f>
        <v>27664</v>
      </c>
      <c r="DK51" s="193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75">
        <f>SUM(RD[[#This Row],[IS12Inv1M1]:[IS12Inv1M4]])</f>
        <v>23002.300000000003</v>
      </c>
      <c r="DO51" s="275">
        <f>SUM(RD[[#This Row],[IS13Inv1M1]:[IS13Inv2M2]])</f>
        <v>13879</v>
      </c>
      <c r="DP51" s="193">
        <f>SUM(RD[[#This Row],[O2R15]:[O2R26]])</f>
        <v>415627.19999999995</v>
      </c>
      <c r="DQ51" s="158">
        <v>39875.800000000003</v>
      </c>
      <c r="DR51" s="162">
        <v>210</v>
      </c>
      <c r="DS51" s="158">
        <v>34481</v>
      </c>
      <c r="DT51" s="158">
        <v>222.1</v>
      </c>
      <c r="DU51" s="162">
        <v>40087.800000000003</v>
      </c>
      <c r="DV51" s="162">
        <v>398.5</v>
      </c>
      <c r="DW51" s="158">
        <v>7963</v>
      </c>
      <c r="DX51" s="162">
        <v>36.799999999999997</v>
      </c>
      <c r="DY51" s="162"/>
      <c r="DZ51" s="162"/>
      <c r="EA51" s="134">
        <v>94.11</v>
      </c>
      <c r="EB51" s="230">
        <v>125738500</v>
      </c>
      <c r="EC51" s="229">
        <v>926045.37600000005</v>
      </c>
      <c r="ED51" s="230">
        <v>1111</v>
      </c>
      <c r="EE51" s="230">
        <v>120037</v>
      </c>
      <c r="EF51" s="158">
        <v>174380.79999999999</v>
      </c>
      <c r="EG51" s="158">
        <v>1816.7</v>
      </c>
      <c r="EH51" s="140">
        <f>IF((RD[[#This Row],[33 kV_F3_Ex
Incomer1]]-DQ50)*1000&lt;0,0,(RD[[#This Row],[33 kV_F3_Ex
Incomer1]]-DQ50)*1000)</f>
        <v>92100.000000005821</v>
      </c>
      <c r="EI51" s="140">
        <f>IF((RD[[#This Row],[34 kV_F3_Im
Incomer1]]-DR50)*1000&lt;0,0,(RD[[#This Row],[34 kV_F3_Im
Incomer1]]-DR50)*1000)</f>
        <v>300.00000000001137</v>
      </c>
      <c r="EJ51" s="140">
        <f>IF((RD[[#This Row],[33 kV_F4_Ex
Incomer2]]-DS50)*1000&lt;0,0,(RD[[#This Row],[33 kV_F4_Ex
Incomer2]]-DS50)*1000)</f>
        <v>93400.000000001455</v>
      </c>
      <c r="EK51" s="140">
        <f>IF((RD[[#This Row],[34 kV_F4_Im
Incomer2]]-DT50)*1000&lt;0,0,(RD[[#This Row],[34 kV_F4_Im
Incomer2]]-DT50)*1000)</f>
        <v>299.99999999998295</v>
      </c>
      <c r="EL51" s="140">
        <f>IF((RD[[#This Row],[33 kV_F5_Ex
Incomer3]]-DU50)*1000&lt;0,0,(RD[[#This Row],[33 kV_F5_Ex
Incomer3]]-DU50)*1000)</f>
        <v>119500</v>
      </c>
      <c r="EM51" s="140">
        <f>IF((RD[[#This Row],[34 kV_F5_Im
Incomer3]]-DV50)*1000&lt;0,0,(RD[[#This Row],[34 kV_F5_Im
Incomer3]]-DV50)*1000)</f>
        <v>600.00000000002274</v>
      </c>
      <c r="EN51" s="140">
        <f>IF((RD[[#This Row],[33 kV_F6_Ex
Incomer4]]-DW50)*1000&lt;0,0,(RD[[#This Row],[33 kV_F6_Ex
Incomer4]]-DW50)*1000)</f>
        <v>119199.99999999983</v>
      </c>
      <c r="EO51" s="140">
        <f>IF((RD[[#This Row],[33 kV_F6_Im
Incomer4]]-DX50)*1000&lt;0,0,(RD[[#This Row],[33 kV_F6_Im
Incomer4]]-DX50)*1000)</f>
        <v>699.99999999999568</v>
      </c>
      <c r="EP51" s="140">
        <f>IF((RD[[#This Row],[33 kV_F7_Ex
Incomer5]]-DY50)*1000&lt;0,0,(RD[[#This Row],[33 kV_F7_Ex
Incomer5]]-DY50)*1000)</f>
        <v>0</v>
      </c>
      <c r="EQ51" s="140">
        <f>IF((RD[[#This Row],[33 kV_F7_Im
Incomer5]]-DZ50)*1000&lt;0,0,(RD[[#This Row],[33 kV_F7_Im
Incomer5]]-DZ50)*1000)</f>
        <v>0</v>
      </c>
      <c r="ER51" s="140">
        <f>IF((RD[[#This Row],[33 kV_Aux Trafo]]-EA50)*1000&lt;0,0,(RD[[#This Row],[33 kV_Aux Trafo]]-EA50)*1000)</f>
        <v>230.00000000000398</v>
      </c>
      <c r="ES51" s="152">
        <f>IF((RD[[#This Row],[33kV_OG1_Ex_]]-EB50)*1&lt;0,0,(RD[[#This Row],[33kV_OG1_Ex_]]-EB50)*1)</f>
        <v>425198</v>
      </c>
      <c r="ET51" s="140">
        <f>IF((RD[[#This Row],[33kV_OG1_Im]]-EC50)*1&lt;0,0,(RD[[#This Row],[33kV_OG1_Im]]-EC50)*1)</f>
        <v>2084.0320000000065</v>
      </c>
      <c r="EU51" s="140">
        <f>IF((RD[[#This Row],[132kV_TX1_EX]]-ED50)*720&lt;=0,"",(RD[[#This Row],[132kV_TX1_EX]]-ED50)*720)</f>
        <v>2160</v>
      </c>
      <c r="EV51" s="140">
        <f>IF((RD[[#This Row],[132 kV_Tx1_Im]]-EE50)*720&lt;=0,0,(RD[[#This Row],[132 kV_Tx1_Im]]-EE50)*720)</f>
        <v>304560</v>
      </c>
      <c r="EW51" s="140">
        <f>IF((RD[[#This Row],[132kV_L1_Ex]]-EF50)*720&lt;=0,0,(RD[[#This Row],[132kV_L1_Ex]]-EF50)*720)</f>
        <v>423863.99999998743</v>
      </c>
      <c r="EX51" s="140">
        <f>IF((RD[[#This Row],[132kV_L1_Im]]-EG50)*720&lt;=0,0,(RD[[#This Row],[132kV_L1_Im]]-EG50)*720)</f>
        <v>2520</v>
      </c>
      <c r="EY51" s="231">
        <f>IFERROR(RD[[#This Row],[33kV_OG1_Ex (MWh)]]+RD[[#This Row],[33kV_OG1_Im (MWh)]],"")</f>
        <v>427282.03200000001</v>
      </c>
      <c r="EZ51" s="142">
        <f>RD[[#This Row],[33kV_OG1_Ex (MWh)]]-RD[[#This Row],[33kV_OG1_Im (MWh)]]</f>
        <v>423113.96799999999</v>
      </c>
      <c r="FA51" s="142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32">
        <v>12.4</v>
      </c>
      <c r="FD51" s="233">
        <v>114</v>
      </c>
      <c r="FE51" t="s">
        <v>282</v>
      </c>
      <c r="FG51" s="138" t="str">
        <f>IFERROR(RD[[#This Row],[E_AC (WPR)]]/RD[[#This Row],[E_DC (WPR)]],"")</f>
        <v/>
      </c>
    </row>
    <row r="52" spans="1:163">
      <c r="A52" s="130">
        <f t="shared" si="159"/>
        <v>45792</v>
      </c>
      <c r="B52" s="132">
        <f>YEAR(RD[[#This Row],[Date]])+IF(MONTH(RD[[#This Row],[Date]])&gt;=4,1,0)</f>
        <v>2026</v>
      </c>
      <c r="C52" s="132">
        <f>YEAR(RD[[#This Row],[Date]])</f>
        <v>2025</v>
      </c>
      <c r="D52" s="133">
        <f t="shared" si="160"/>
        <v>45778</v>
      </c>
      <c r="E52" s="132">
        <f>DAY(EOMONTH(RD[[#This Row],[Date]],0))</f>
        <v>31</v>
      </c>
      <c r="F52" s="146">
        <v>0.26319444444444445</v>
      </c>
      <c r="G52" s="156">
        <v>0.73958333333333337</v>
      </c>
      <c r="H52" s="121">
        <v>5690.5</v>
      </c>
      <c r="I52" s="121">
        <v>5501.3</v>
      </c>
      <c r="J52" s="121">
        <v>5303.7</v>
      </c>
      <c r="K52" s="121">
        <v>5476.1</v>
      </c>
      <c r="L52" s="121">
        <v>5577.9</v>
      </c>
      <c r="M52" s="121">
        <v>5750.8</v>
      </c>
      <c r="N52" s="121">
        <v>5576.5</v>
      </c>
      <c r="O52" s="121">
        <v>6036.1</v>
      </c>
      <c r="P52" s="121">
        <v>5669.8</v>
      </c>
      <c r="Q52" s="121">
        <v>5608.9</v>
      </c>
      <c r="R52" s="121">
        <v>5777.7</v>
      </c>
      <c r="S52" s="121">
        <v>5722.4</v>
      </c>
      <c r="T52" s="121">
        <v>5945.7</v>
      </c>
      <c r="U52" s="121">
        <v>5829.5</v>
      </c>
      <c r="V52" s="121">
        <v>5882.8</v>
      </c>
      <c r="W52" s="121">
        <v>5598</v>
      </c>
      <c r="X52" s="192">
        <v>7477.5</v>
      </c>
      <c r="Y52" s="192">
        <v>8234.2000000000007</v>
      </c>
      <c r="Z52" s="192">
        <v>7188.5</v>
      </c>
      <c r="AA52" s="192">
        <v>7477</v>
      </c>
      <c r="AB52" s="192">
        <v>8754.2000000000007</v>
      </c>
      <c r="AC52" s="192">
        <v>5347.3</v>
      </c>
      <c r="AD52" s="192">
        <v>7969.3</v>
      </c>
      <c r="AE52" s="192">
        <v>8129.5</v>
      </c>
      <c r="AF52" s="192">
        <v>7975.8</v>
      </c>
      <c r="AG52" s="192">
        <v>7926.6</v>
      </c>
      <c r="AH52" s="192">
        <v>7978.3</v>
      </c>
      <c r="AI52" s="192">
        <v>7991.9</v>
      </c>
      <c r="AJ52" s="136">
        <v>5975.9</v>
      </c>
      <c r="AK52" s="136">
        <v>6232.8</v>
      </c>
      <c r="AL52" s="136">
        <v>6222.8</v>
      </c>
      <c r="AM52" s="136">
        <v>6319</v>
      </c>
      <c r="AN52" s="136">
        <v>6091.2</v>
      </c>
      <c r="AO52" s="136">
        <v>6341.2</v>
      </c>
      <c r="AP52" s="136">
        <v>6158.8</v>
      </c>
      <c r="AQ52" s="136">
        <v>6140.8</v>
      </c>
      <c r="AR52" s="136">
        <v>5031.3</v>
      </c>
      <c r="AS52" s="136">
        <v>5082.8999999999996</v>
      </c>
      <c r="AT52" s="136">
        <v>5128.8999999999996</v>
      </c>
      <c r="AU52" s="136">
        <v>5116.8999999999996</v>
      </c>
      <c r="AV52" s="136">
        <v>5223.3</v>
      </c>
      <c r="AW52" s="136">
        <v>5101.8999999999996</v>
      </c>
      <c r="AX52" s="136">
        <v>6967.1</v>
      </c>
      <c r="AY52" s="136">
        <v>7744.7</v>
      </c>
      <c r="AZ52" s="136">
        <v>5672.7</v>
      </c>
      <c r="BA52" s="136">
        <v>6921.2</v>
      </c>
      <c r="BB52" s="136">
        <v>7529.6</v>
      </c>
      <c r="BC52" s="136">
        <v>6305.2</v>
      </c>
      <c r="BD52" s="136">
        <v>5350.5</v>
      </c>
      <c r="BE52" s="136">
        <v>7181.3</v>
      </c>
      <c r="BF52" s="136">
        <v>1071.5</v>
      </c>
      <c r="BG52" s="136">
        <v>1182.5</v>
      </c>
      <c r="BH52" s="136">
        <v>4988.8999999999996</v>
      </c>
      <c r="BI52" s="136">
        <v>3575.4</v>
      </c>
      <c r="BJ52" s="136">
        <v>5236.3999999999996</v>
      </c>
      <c r="BK52" s="136">
        <v>3004</v>
      </c>
      <c r="BL52" s="136">
        <v>5073.6000000000004</v>
      </c>
      <c r="BM52" s="136">
        <v>5090.6000000000004</v>
      </c>
      <c r="BN52" s="136">
        <v>4484</v>
      </c>
      <c r="BO52" s="136">
        <v>4232.6000000000004</v>
      </c>
      <c r="BP52" s="136">
        <v>4729.3999999999996</v>
      </c>
      <c r="BQ52" s="136">
        <v>4272.8</v>
      </c>
      <c r="BR52" s="136">
        <v>5816.3</v>
      </c>
      <c r="BS52" s="136">
        <v>4101.6000000000004</v>
      </c>
      <c r="BT52" s="136">
        <v>2385.4</v>
      </c>
      <c r="BU52" s="136">
        <v>1467</v>
      </c>
      <c r="BV52" s="136"/>
      <c r="BW52" s="136"/>
      <c r="BX52" s="136"/>
      <c r="BY52" s="136"/>
      <c r="BZ52" s="136">
        <v>855.8</v>
      </c>
      <c r="CA52" s="136">
        <v>721.1</v>
      </c>
      <c r="CB52" s="136">
        <v>3231.2</v>
      </c>
      <c r="CC52" s="136">
        <v>5491.1</v>
      </c>
      <c r="CD52" s="59">
        <v>4.3346419166666674</v>
      </c>
      <c r="CE52" s="59">
        <v>3.9174768499999981</v>
      </c>
      <c r="CF52" s="195">
        <v>4.4218124833333361</v>
      </c>
      <c r="CG52" s="195">
        <v>4.0064483499999968</v>
      </c>
      <c r="CH52" s="195">
        <v>0.50340774999999993</v>
      </c>
      <c r="CI52" s="195">
        <v>0.63521394999999958</v>
      </c>
      <c r="CJ52" s="59">
        <v>0.84212328333333319</v>
      </c>
      <c r="CK52" s="59">
        <v>0.66795186666666539</v>
      </c>
      <c r="CL52" s="195">
        <v>29.868613707165149</v>
      </c>
      <c r="CM52" s="195">
        <v>30.073478295185495</v>
      </c>
      <c r="CN52" s="195">
        <v>41.911445482865993</v>
      </c>
      <c r="CO52" s="195">
        <v>39.514062352012537</v>
      </c>
      <c r="CP52" s="195">
        <v>61.77861370716515</v>
      </c>
      <c r="CQ52" s="195">
        <v>61.953060773480715</v>
      </c>
      <c r="CR52" s="59">
        <v>3.7383177570093497E-2</v>
      </c>
      <c r="CS52" s="59">
        <v>0</v>
      </c>
      <c r="CT52" s="195">
        <v>1.3289182242990671</v>
      </c>
      <c r="CU52" s="195">
        <v>1.355965272296765</v>
      </c>
      <c r="CV52" s="195">
        <v>5.6459999999999999</v>
      </c>
      <c r="CW52" s="247">
        <v>5.8259999999999996</v>
      </c>
      <c r="CX52" s="193">
        <f>IFERROR(AVERAGEIF(RD[[#This Row],[IS1POA1 (KWh/m2)]:[IS7POA2 (KWh/m2)]],"&lt;&gt;0",RD[[#This Row],[IS1POA1 (KWh/m2)]:[IS7POA2 (KWh/m2)]]),"")</f>
        <v>4.1260593833333328</v>
      </c>
      <c r="CY52" s="193">
        <f>IFERROR(AVERAGEIF(RD[[#This Row],[IS1GHI1 (KWh/m2)]:[IS7GHI2 (KWh/m2)]],"&lt;&gt;0",RD[[#This Row],[IS1GHI1 (KWh/m2)]:[IS7GHI2 (KWh/m2)]]),"")</f>
        <v>4.2141304166666664</v>
      </c>
      <c r="CZ52" s="193">
        <f>IFERROR(AVERAGEIF(RD[[#This Row],[IS1POA_BS1 (KWh/m2)]:[IS7POA_BS2 (KWh/m2)]],"&lt;&gt;0",RD[[#This Row],[IS1POA_BS1 (KWh/m2)]:[IS7POA_BS2 (KWh/m2)]]),"")</f>
        <v>0.5693108499999997</v>
      </c>
      <c r="DA52" s="193">
        <f>IFERROR(AVERAGEIF(RD[[#This Row],[IS1GHI_BS1 (KWh/m2)]:[IS1GHI_BS1 (KWh/m2)2]],"&lt;&gt;0",RD[[#This Row],[IS1GHI_BS1 (KWh/m2)]:[IS1GHI_BS1 (KWh/m2)2]]),"")</f>
        <v>0.75503757499999935</v>
      </c>
      <c r="DB52" s="193">
        <f>IFERROR(AVERAGEIF(RD[[#This Row],[IS1AT1 (°C)]:[IS7AT2 (°C)]],"&lt;&gt;0",RD[[#This Row],[IS1AT1 (°C)]:[IS7AT2 (°C)]]),"")</f>
        <v>29.971046001175324</v>
      </c>
      <c r="DC52" s="193">
        <f>IFERROR(AVERAGEIF(RD[[#This Row],[IS1MT1 (°C)]:[IS7MT2 (°C)]],"&lt;&gt;0",RD[[#This Row],[IS1MT1 (°C)]:[IS7MT2 (°C)]]),"")</f>
        <v>40.712753917439265</v>
      </c>
      <c r="DD52" s="193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193">
        <f>IFERROR(AVERAGEIF(RD[[#This Row],[WS_Solar1_Avg (m/s)]:[IS7_WS_Solar1_Avg (m/s)]],"&lt;&gt;0",RD[[#This Row],[WS_Solar1_Avg (m/s)]:[IS7_WS_Solar1_Avg (m/s)]]),"")</f>
        <v>1.3424417482979161</v>
      </c>
      <c r="DG52" s="193">
        <f>IFERROR(AVERAGEIF(RD[[#This Row],[WS_Solar1_Max (m/s)]:[IS7_WS_Solar1_Max (m/s)]],"&lt;&gt;0",RD[[#This Row],[WS_Solar1_Max (m/s)]:[IS7_WS_Solar1_Max (m/s)]]),"")</f>
        <v>5.7359999999999998</v>
      </c>
      <c r="DH52" s="193">
        <f>SUM(RD[[#This Row],[IS1Inv1M1]:[IS4Inv4M2]])</f>
        <v>183397.79999999996</v>
      </c>
      <c r="DI52" s="194">
        <f>SUM(RD[[#This Row],[IS7Inv1M1]]+RD[[#This Row],[IS7Inv2M1]])</f>
        <v>10114.200000000001</v>
      </c>
      <c r="DJ52" s="193">
        <f>SUM(RD[[#This Row],[IS5Inv1M1]:[IS5Inv2M2]])</f>
        <v>24750.5</v>
      </c>
      <c r="DK52" s="193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75">
        <f>SUM(RD[[#This Row],[IS12Inv1M1]:[IS12Inv1M4]])</f>
        <v>17718.8</v>
      </c>
      <c r="DO52" s="275">
        <f>SUM(RD[[#This Row],[IS13Inv1M1]:[IS13Inv2M2]])</f>
        <v>13770.300000000001</v>
      </c>
      <c r="DP52" s="193">
        <f>SUM(RD[[#This Row],[O2R15]:[O2R26]])</f>
        <v>388248.99999999994</v>
      </c>
      <c r="DQ52" s="158">
        <v>39967.599999999999</v>
      </c>
      <c r="DR52" s="162">
        <v>210.4</v>
      </c>
      <c r="DS52" s="158">
        <v>34569.300000000003</v>
      </c>
      <c r="DT52" s="158">
        <v>222.5</v>
      </c>
      <c r="DU52" s="162">
        <v>40194</v>
      </c>
      <c r="DV52" s="162">
        <v>399.2</v>
      </c>
      <c r="DW52" s="158">
        <v>8071.9</v>
      </c>
      <c r="DX52" s="162">
        <v>37.6</v>
      </c>
      <c r="DY52" s="162"/>
      <c r="DZ52" s="162"/>
      <c r="EA52" s="134">
        <v>94.36</v>
      </c>
      <c r="EB52" s="230">
        <v>126134534</v>
      </c>
      <c r="EC52" s="229">
        <v>928454.65599999996</v>
      </c>
      <c r="ED52" s="230">
        <v>1114</v>
      </c>
      <c r="EE52" s="230">
        <v>120432</v>
      </c>
      <c r="EF52" s="158">
        <v>174928.9</v>
      </c>
      <c r="EG52" s="158">
        <v>1820.9</v>
      </c>
      <c r="EH52" s="140">
        <f>IF((RD[[#This Row],[33 kV_F3_Ex
Incomer1]]-DQ51)*1000&lt;0,0,(RD[[#This Row],[33 kV_F3_Ex
Incomer1]]-DQ51)*1000)</f>
        <v>91799.999999995634</v>
      </c>
      <c r="EI52" s="140">
        <f>IF((RD[[#This Row],[34 kV_F3_Im
Incomer1]]-DR51)*1000&lt;0,0,(RD[[#This Row],[34 kV_F3_Im
Incomer1]]-DR51)*1000)</f>
        <v>400.00000000000568</v>
      </c>
      <c r="EJ52" s="140">
        <f>IF((RD[[#This Row],[33 kV_F4_Ex
Incomer2]]-DS51)*1000&lt;0,0,(RD[[#This Row],[33 kV_F4_Ex
Incomer2]]-DS51)*1000)</f>
        <v>88300.00000000291</v>
      </c>
      <c r="EK52" s="140">
        <f>IF((RD[[#This Row],[34 kV_F4_Im
Incomer2]]-DT51)*1000&lt;0,0,(RD[[#This Row],[34 kV_F4_Im
Incomer2]]-DT51)*1000)</f>
        <v>400.00000000000568</v>
      </c>
      <c r="EL52" s="140">
        <f>IF((RD[[#This Row],[33 kV_F5_Ex
Incomer3]]-DU51)*1000&lt;0,0,(RD[[#This Row],[33 kV_F5_Ex
Incomer3]]-DU51)*1000)</f>
        <v>106199.99999999709</v>
      </c>
      <c r="EM52" s="140">
        <f>IF((RD[[#This Row],[34 kV_F5_Im
Incomer3]]-DV51)*1000&lt;0,0,(RD[[#This Row],[34 kV_F5_Im
Incomer3]]-DV51)*1000)</f>
        <v>699.99999999998863</v>
      </c>
      <c r="EN52" s="140">
        <f>IF((RD[[#This Row],[33 kV_F6_Ex
Incomer4]]-DW51)*1000&lt;0,0,(RD[[#This Row],[33 kV_F6_Ex
Incomer4]]-DW51)*1000)</f>
        <v>108899.99999999964</v>
      </c>
      <c r="EO52" s="140">
        <f>IF((RD[[#This Row],[33 kV_F6_Im
Incomer4]]-DX51)*1000&lt;0,0,(RD[[#This Row],[33 kV_F6_Im
Incomer4]]-DX51)*1000)</f>
        <v>800.00000000000432</v>
      </c>
      <c r="EP52" s="140">
        <f>IF((RD[[#This Row],[33 kV_F7_Ex
Incomer5]]-DY51)*1000&lt;0,0,(RD[[#This Row],[33 kV_F7_Ex
Incomer5]]-DY51)*1000)</f>
        <v>0</v>
      </c>
      <c r="EQ52" s="140">
        <f>IF((RD[[#This Row],[33 kV_F7_Im
Incomer5]]-DZ51)*1000&lt;0,0,(RD[[#This Row],[33 kV_F7_Im
Incomer5]]-DZ51)*1000)</f>
        <v>0</v>
      </c>
      <c r="ER52" s="140">
        <f>IF((RD[[#This Row],[33 kV_Aux Trafo]]-EA51)*1000&lt;0,0,(RD[[#This Row],[33 kV_Aux Trafo]]-EA51)*1000)</f>
        <v>250</v>
      </c>
      <c r="ES52" s="152">
        <f>IF((RD[[#This Row],[33kV_OG1_Ex_]]-EB51)*1&lt;0,0,(RD[[#This Row],[33kV_OG1_Ex_]]-EB51)*1)</f>
        <v>396034</v>
      </c>
      <c r="ET52" s="140">
        <f>IF((RD[[#This Row],[33kV_OG1_Im]]-EC51)*1&lt;0,0,(RD[[#This Row],[33kV_OG1_Im]]-EC51)*1)</f>
        <v>2409.2799999999115</v>
      </c>
      <c r="EU52" s="140">
        <f>IF((RD[[#This Row],[132kV_TX1_EX]]-ED51)*720&lt;=0,"",(RD[[#This Row],[132kV_TX1_EX]]-ED51)*720)</f>
        <v>2160</v>
      </c>
      <c r="EV52" s="140">
        <f>IF((RD[[#This Row],[132 kV_Tx1_Im]]-EE51)*720&lt;=0,0,(RD[[#This Row],[132 kV_Tx1_Im]]-EE51)*720)</f>
        <v>284400</v>
      </c>
      <c r="EW52" s="140">
        <f>IF((RD[[#This Row],[132kV_L1_Ex]]-EF51)*720&lt;=0,0,(RD[[#This Row],[132kV_L1_Ex]]-EF51)*720)</f>
        <v>394632.00000000419</v>
      </c>
      <c r="EX52" s="140">
        <f>IF((RD[[#This Row],[132kV_L1_Im]]-EG51)*720&lt;=0,0,(RD[[#This Row],[132kV_L1_Im]]-EG51)*720)</f>
        <v>3024.0000000000327</v>
      </c>
      <c r="EY52" s="231">
        <f>IFERROR(RD[[#This Row],[33kV_OG1_Ex (MWh)]]+RD[[#This Row],[33kV_OG1_Im (MWh)]],"")</f>
        <v>398443.27999999991</v>
      </c>
      <c r="EZ52" s="142">
        <f>RD[[#This Row],[33kV_OG1_Ex (MWh)]]-RD[[#This Row],[33kV_OG1_Im (MWh)]]</f>
        <v>393624.72000000009</v>
      </c>
      <c r="FA52" s="142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32">
        <v>12.9</v>
      </c>
      <c r="FD52" s="233">
        <v>114</v>
      </c>
      <c r="FE52" t="s">
        <v>281</v>
      </c>
      <c r="FG52" s="138" t="str">
        <f>IFERROR(RD[[#This Row],[E_AC (WPR)]]/RD[[#This Row],[E_DC (WPR)]],"")</f>
        <v/>
      </c>
    </row>
    <row r="53" spans="1:163">
      <c r="A53" s="130">
        <f>A52+1</f>
        <v>45793</v>
      </c>
      <c r="B53" s="132">
        <f>YEAR(RD[[#This Row],[Date]])+IF(MONTH(RD[[#This Row],[Date]])&gt;=4,1,0)</f>
        <v>2026</v>
      </c>
      <c r="C53" s="132">
        <f>YEAR(RD[[#This Row],[Date]])</f>
        <v>2025</v>
      </c>
      <c r="D53" s="133">
        <f>A53-DAY(A53)+1</f>
        <v>45778</v>
      </c>
      <c r="E53" s="132">
        <f>DAY(EOMONTH(RD[[#This Row],[Date]],0))</f>
        <v>31</v>
      </c>
      <c r="F53" s="146">
        <v>0.25277777777777777</v>
      </c>
      <c r="G53" s="156">
        <v>0.75902777777777775</v>
      </c>
      <c r="H53" s="121">
        <v>6251</v>
      </c>
      <c r="I53" s="121">
        <v>6252.5</v>
      </c>
      <c r="J53" s="121">
        <v>5977.1</v>
      </c>
      <c r="K53" s="121">
        <v>5994.5</v>
      </c>
      <c r="L53" s="121">
        <v>6144.9</v>
      </c>
      <c r="M53" s="121">
        <v>6275.4</v>
      </c>
      <c r="N53" s="121">
        <v>6105.5</v>
      </c>
      <c r="O53" s="121">
        <v>6549</v>
      </c>
      <c r="P53" s="121">
        <v>6177.7</v>
      </c>
      <c r="Q53" s="121">
        <v>6107.2</v>
      </c>
      <c r="R53" s="121">
        <v>6334.2</v>
      </c>
      <c r="S53" s="121">
        <v>6341.3</v>
      </c>
      <c r="T53" s="121">
        <v>6512.8</v>
      </c>
      <c r="U53" s="121">
        <v>6424.7</v>
      </c>
      <c r="V53" s="121">
        <v>6430</v>
      </c>
      <c r="W53" s="121">
        <v>6215.1</v>
      </c>
      <c r="X53" s="192">
        <v>8831.1</v>
      </c>
      <c r="Y53" s="192">
        <v>9574.5</v>
      </c>
      <c r="Z53" s="192">
        <v>8567</v>
      </c>
      <c r="AA53" s="192">
        <v>8853.6</v>
      </c>
      <c r="AB53" s="192">
        <v>9845.9</v>
      </c>
      <c r="AC53" s="192">
        <v>6149.9</v>
      </c>
      <c r="AD53" s="192">
        <v>9116.7999999999993</v>
      </c>
      <c r="AE53" s="192">
        <v>9285.2999999999993</v>
      </c>
      <c r="AF53" s="192">
        <v>9009.1</v>
      </c>
      <c r="AG53" s="192">
        <v>8947</v>
      </c>
      <c r="AH53" s="192">
        <v>8959.7000000000007</v>
      </c>
      <c r="AI53" s="192">
        <v>9018.9</v>
      </c>
      <c r="AJ53" s="192">
        <v>7382.9</v>
      </c>
      <c r="AK53" s="192">
        <v>7568.3</v>
      </c>
      <c r="AL53" s="192">
        <v>6222.8</v>
      </c>
      <c r="AM53" s="192">
        <v>6319</v>
      </c>
      <c r="AN53" s="192">
        <v>7385.9</v>
      </c>
      <c r="AO53" s="192">
        <v>7628.4</v>
      </c>
      <c r="AP53" s="192">
        <v>7494.3</v>
      </c>
      <c r="AQ53" s="192">
        <v>7404</v>
      </c>
      <c r="AR53" s="192">
        <v>6000.5</v>
      </c>
      <c r="AS53" s="192">
        <v>6042.7</v>
      </c>
      <c r="AT53" s="192">
        <v>6055.8</v>
      </c>
      <c r="AU53" s="192">
        <v>6032.8</v>
      </c>
      <c r="AV53" s="192">
        <v>6153</v>
      </c>
      <c r="AW53" s="192">
        <v>6076.4</v>
      </c>
      <c r="AX53" s="192">
        <v>8532.7000000000007</v>
      </c>
      <c r="AY53" s="192">
        <v>9361.2000000000007</v>
      </c>
      <c r="AZ53" s="192">
        <v>6905.3</v>
      </c>
      <c r="BA53" s="192">
        <v>8352.1</v>
      </c>
      <c r="BB53" s="192">
        <v>8689</v>
      </c>
      <c r="BC53" s="192">
        <v>7224</v>
      </c>
      <c r="BD53" s="192">
        <v>6129</v>
      </c>
      <c r="BE53" s="192">
        <v>8192</v>
      </c>
      <c r="BF53" s="192">
        <v>8813</v>
      </c>
      <c r="BG53" s="192">
        <v>8933</v>
      </c>
      <c r="BH53" s="192">
        <v>5549</v>
      </c>
      <c r="BI53" s="192">
        <v>3008</v>
      </c>
      <c r="BJ53" s="192">
        <v>6002</v>
      </c>
      <c r="BK53" s="192">
        <v>3379</v>
      </c>
      <c r="BL53" s="192">
        <v>5657</v>
      </c>
      <c r="BM53" s="192">
        <v>5751</v>
      </c>
      <c r="BN53" s="192">
        <v>6240</v>
      </c>
      <c r="BO53" s="192">
        <v>5901</v>
      </c>
      <c r="BP53" s="192">
        <v>6511</v>
      </c>
      <c r="BQ53" s="192">
        <v>6049</v>
      </c>
      <c r="BR53" s="192">
        <v>6587</v>
      </c>
      <c r="BS53" s="192">
        <v>5210</v>
      </c>
      <c r="BT53" s="192">
        <v>2639</v>
      </c>
      <c r="BU53" s="192">
        <v>1686</v>
      </c>
      <c r="BV53" s="192"/>
      <c r="BW53" s="192"/>
      <c r="BX53" s="192"/>
      <c r="BY53" s="192"/>
      <c r="BZ53" s="192">
        <v>950</v>
      </c>
      <c r="CA53" s="192">
        <v>805</v>
      </c>
      <c r="CB53" s="192">
        <v>3585</v>
      </c>
      <c r="CC53" s="192">
        <v>6245</v>
      </c>
      <c r="CD53" s="250">
        <v>4.7751695166666721</v>
      </c>
      <c r="CE53" s="250">
        <v>4.7071561499999994</v>
      </c>
      <c r="CF53" s="250">
        <v>4.8163242999999945</v>
      </c>
      <c r="CG53" s="250">
        <v>4.7833447499999897</v>
      </c>
      <c r="CH53" s="250">
        <v>0.59292093333333251</v>
      </c>
      <c r="CI53" s="250">
        <v>0.68631950000000019</v>
      </c>
      <c r="CJ53" s="250">
        <v>0.66859999999899999</v>
      </c>
      <c r="CK53" s="250">
        <v>0.77624051666666627</v>
      </c>
      <c r="CL53" s="250">
        <v>29.393847222222202</v>
      </c>
      <c r="CM53" s="250">
        <v>30.097181528662478</v>
      </c>
      <c r="CN53" s="250">
        <v>40.985718055555509</v>
      </c>
      <c r="CO53" s="250">
        <v>40.379086783439433</v>
      </c>
      <c r="CP53" s="250">
        <v>67.488125000000053</v>
      </c>
      <c r="CQ53" s="250">
        <v>64.900469745222992</v>
      </c>
      <c r="CR53" s="250">
        <v>0</v>
      </c>
      <c r="CS53" s="250">
        <v>0</v>
      </c>
      <c r="CT53" s="250">
        <v>1.1453041666666661</v>
      </c>
      <c r="CU53" s="250">
        <v>1.2828479299363043</v>
      </c>
      <c r="CV53" s="250">
        <v>4.4550000000000001</v>
      </c>
      <c r="CW53" s="250">
        <v>4.9080000000000004</v>
      </c>
      <c r="CX53" s="193">
        <f>IFERROR(AVERAGEIF(RD[[#This Row],[IS1POA1 (KWh/m2)]:[IS7POA2 (KWh/m2)]],"&lt;&gt;0",RD[[#This Row],[IS1POA1 (KWh/m2)]:[IS7POA2 (KWh/m2)]]),"")</f>
        <v>4.7411628333333358</v>
      </c>
      <c r="CY53" s="193">
        <f>IFERROR(AVERAGEIF(RD[[#This Row],[IS1GHI1 (KWh/m2)]:[IS7GHI2 (KWh/m2)]],"&lt;&gt;0",RD[[#This Row],[IS1GHI1 (KWh/m2)]:[IS7GHI2 (KWh/m2)]]),"")</f>
        <v>4.7998345249999925</v>
      </c>
      <c r="CZ53" s="193">
        <f>IFERROR(AVERAGEIF(RD[[#This Row],[IS1POA_BS1 (KWh/m2)]:[IS7POA_BS2 (KWh/m2)]],"&lt;&gt;0",RD[[#This Row],[IS1POA_BS1 (KWh/m2)]:[IS7POA_BS2 (KWh/m2)]]),"")</f>
        <v>0.63962021666666635</v>
      </c>
      <c r="DA53" s="193">
        <f>IFERROR(AVERAGEIF(RD[[#This Row],[IS1GHI_BS1 (KWh/m2)]:[IS1GHI_BS1 (KWh/m2)2]],"&lt;&gt;0",RD[[#This Row],[IS1GHI_BS1 (KWh/m2)]:[IS1GHI_BS1 (KWh/m2)2]]),"")</f>
        <v>0.72242025833283319</v>
      </c>
      <c r="DB53" s="193">
        <f>IFERROR(AVERAGEIF(RD[[#This Row],[IS1AT1 (°C)]:[IS7AT2 (°C)]],"&lt;&gt;0",RD[[#This Row],[IS1AT1 (°C)]:[IS7AT2 (°C)]]),"")</f>
        <v>29.74551437544234</v>
      </c>
      <c r="DC53" s="193">
        <f>IFERROR(AVERAGEIF(RD[[#This Row],[IS1MT1 (°C)]:[IS7MT2 (°C)]],"&lt;&gt;0",RD[[#This Row],[IS1MT1 (°C)]:[IS7MT2 (°C)]]),"")</f>
        <v>40.682402419497471</v>
      </c>
      <c r="DD53" s="193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193">
        <f>IFERROR(AVERAGEIF(RD[[#This Row],[WS_Solar1_Avg (m/s)]:[IS7_WS_Solar1_Avg (m/s)]],"&lt;&gt;0",RD[[#This Row],[WS_Solar1_Avg (m/s)]:[IS7_WS_Solar1_Avg (m/s)]]),"")</f>
        <v>1.2140760483014852</v>
      </c>
      <c r="DG53" s="193">
        <f>IFERROR(AVERAGEIF(RD[[#This Row],[WS_Solar1_Max (m/s)]:[IS7_WS_Solar1_Max (m/s)]],"&lt;&gt;0",RD[[#This Row],[WS_Solar1_Max (m/s)]:[IS7_WS_Solar1_Max (m/s)]]),"")</f>
        <v>4.6814999999999998</v>
      </c>
      <c r="DH53" s="193">
        <f>SUM(RD[[#This Row],[IS1Inv1M1]:[IS4Inv4M2]])</f>
        <v>206251.69999999998</v>
      </c>
      <c r="DI53" s="194">
        <f>SUM(RD[[#This Row],[IS7Inv1M1]]+RD[[#This Row],[IS7Inv2M1]])</f>
        <v>12043.2</v>
      </c>
      <c r="DJ53" s="193">
        <f>SUM(RD[[#This Row],[IS5Inv1M1]:[IS5Inv2M2]])</f>
        <v>27493</v>
      </c>
      <c r="DK53" s="193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75">
        <f>SUM(RD[[#This Row],[IS12Inv1M1]:[IS12Inv1M4]])</f>
        <v>24701</v>
      </c>
      <c r="DO53" s="275">
        <f>SUM(RD[[#This Row],[IS13Inv1M1]:[IS13Inv2M2]])</f>
        <v>16122</v>
      </c>
      <c r="DP53" s="193">
        <f>SUM(RD[[#This Row],[O2R15]:[O2R26]])</f>
        <v>462903.8</v>
      </c>
      <c r="DQ53" s="158">
        <v>40072.9</v>
      </c>
      <c r="DR53" s="162">
        <v>210.8</v>
      </c>
      <c r="DS53" s="158">
        <v>34666.400000000001</v>
      </c>
      <c r="DT53" s="158">
        <v>222.8</v>
      </c>
      <c r="DU53" s="162">
        <v>40321.599999999999</v>
      </c>
      <c r="DV53" s="162">
        <v>399.8</v>
      </c>
      <c r="DW53" s="158">
        <v>8199.5</v>
      </c>
      <c r="DX53" s="162">
        <v>38.6</v>
      </c>
      <c r="DY53" s="162"/>
      <c r="DZ53" s="162"/>
      <c r="EA53" s="134">
        <v>94.6</v>
      </c>
      <c r="EB53" s="230">
        <v>126593277</v>
      </c>
      <c r="EC53" s="229">
        <v>930819.26399999997</v>
      </c>
      <c r="ED53" s="230">
        <v>1117</v>
      </c>
      <c r="EE53" s="230">
        <v>120888</v>
      </c>
      <c r="EF53" s="158">
        <v>175563.7</v>
      </c>
      <c r="EG53" s="158">
        <v>1824.7</v>
      </c>
      <c r="EH53" s="140">
        <f>IF((RD[[#This Row],[33 kV_F3_Ex
Incomer1]]-DQ52)*1000&lt;0,0,(RD[[#This Row],[33 kV_F3_Ex
Incomer1]]-DQ52)*1000)</f>
        <v>105300.00000000291</v>
      </c>
      <c r="EI53" s="140">
        <f>IF((RD[[#This Row],[34 kV_F3_Im
Incomer1]]-DR52)*1000&lt;0,0,(RD[[#This Row],[34 kV_F3_Im
Incomer1]]-DR52)*1000)</f>
        <v>400.00000000000568</v>
      </c>
      <c r="EJ53" s="140">
        <f>IF((RD[[#This Row],[33 kV_F4_Ex
Incomer2]]-DS52)*1000&lt;0,0,(RD[[#This Row],[33 kV_F4_Ex
Incomer2]]-DS52)*1000)</f>
        <v>97099.999999998545</v>
      </c>
      <c r="EK53" s="140">
        <f>IF((RD[[#This Row],[34 kV_F4_Im
Incomer2]]-DT52)*1000&lt;0,0,(RD[[#This Row],[34 kV_F4_Im
Incomer2]]-DT52)*1000)</f>
        <v>300.00000000001137</v>
      </c>
      <c r="EL53" s="140">
        <f>IF((RD[[#This Row],[33 kV_F5_Ex
Incomer3]]-DU52)*1000&lt;0,0,(RD[[#This Row],[33 kV_F5_Ex
Incomer3]]-DU52)*1000)</f>
        <v>127599.99999999854</v>
      </c>
      <c r="EM53" s="140">
        <f>IF((RD[[#This Row],[34 kV_F5_Im
Incomer3]]-DV52)*1000&lt;0,0,(RD[[#This Row],[34 kV_F5_Im
Incomer3]]-DV52)*1000)</f>
        <v>600.00000000002274</v>
      </c>
      <c r="EN53" s="140">
        <f>IF((RD[[#This Row],[33 kV_F6_Ex
Incomer4]]-DW52)*1000&lt;0,0,(RD[[#This Row],[33 kV_F6_Ex
Incomer4]]-DW52)*1000)</f>
        <v>127600.00000000036</v>
      </c>
      <c r="EO53" s="140">
        <f>IF((RD[[#This Row],[33 kV_F6_Im
Incomer4]]-DX52)*1000&lt;0,0,(RD[[#This Row],[33 kV_F6_Im
Incomer4]]-DX52)*1000)</f>
        <v>1000</v>
      </c>
      <c r="EP53" s="140">
        <f>IF((RD[[#This Row],[33 kV_F7_Ex
Incomer5]]-DY52)*1000&lt;0,0,(RD[[#This Row],[33 kV_F7_Ex
Incomer5]]-DY52)*1000)</f>
        <v>0</v>
      </c>
      <c r="EQ53" s="140">
        <f>IF((RD[[#This Row],[33 kV_F7_Im
Incomer5]]-DZ52)*1000&lt;0,0,(RD[[#This Row],[33 kV_F7_Im
Incomer5]]-DZ52)*1000)</f>
        <v>0</v>
      </c>
      <c r="ER53" s="140">
        <f>IF((RD[[#This Row],[33 kV_Aux Trafo]]-EA52)*1000&lt;0,0,(RD[[#This Row],[33 kV_Aux Trafo]]-EA52)*1000)</f>
        <v>239.99999999999488</v>
      </c>
      <c r="ES53" s="152">
        <f>IF((RD[[#This Row],[33kV_OG1_Ex_]]-EB52)*1&lt;0,0,(RD[[#This Row],[33kV_OG1_Ex_]]-EB52)*1)</f>
        <v>458743</v>
      </c>
      <c r="ET53" s="140">
        <f>IF((RD[[#This Row],[33kV_OG1_Im]]-EC52)*1&lt;0,0,(RD[[#This Row],[33kV_OG1_Im]]-EC52)*1)</f>
        <v>2364.6080000000075</v>
      </c>
      <c r="EU53" s="140">
        <f>IF((RD[[#This Row],[132kV_TX1_EX]]-ED52)*720&lt;=0,"",(RD[[#This Row],[132kV_TX1_EX]]-ED52)*720)</f>
        <v>2160</v>
      </c>
      <c r="EV53" s="140">
        <f>IF((RD[[#This Row],[132 kV_Tx1_Im]]-EE52)*720&lt;=0,0,(RD[[#This Row],[132 kV_Tx1_Im]]-EE52)*720)</f>
        <v>328320</v>
      </c>
      <c r="EW53" s="140">
        <f>IF((RD[[#This Row],[132kV_L1_Ex]]-EF52)*720&lt;=0,0,(RD[[#This Row],[132kV_L1_Ex]]-EF52)*720)</f>
        <v>457056.00000001257</v>
      </c>
      <c r="EX53" s="140">
        <f>IF((RD[[#This Row],[132kV_L1_Im]]-EG52)*720&lt;=0,0,(RD[[#This Row],[132kV_L1_Im]]-EG52)*720)</f>
        <v>2735.9999999999673</v>
      </c>
      <c r="EY53" s="231">
        <f>IFERROR(RD[[#This Row],[33kV_OG1_Ex (MWh)]]+RD[[#This Row],[33kV_OG1_Im (MWh)]],"")</f>
        <v>461107.60800000001</v>
      </c>
      <c r="EZ53" s="142">
        <f>RD[[#This Row],[33kV_OG1_Ex (MWh)]]-RD[[#This Row],[33kV_OG1_Im (MWh)]]</f>
        <v>456378.39199999999</v>
      </c>
      <c r="FA53" s="142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32">
        <v>12.9</v>
      </c>
      <c r="FD53" s="233">
        <v>114</v>
      </c>
      <c r="FE53" t="s">
        <v>283</v>
      </c>
      <c r="FG53" s="138" t="str">
        <f>IFERROR(RD[[#This Row],[E_AC (WPR)]]/RD[[#This Row],[E_DC (WPR)]],"")</f>
        <v/>
      </c>
    </row>
    <row r="54" spans="1:163">
      <c r="A54" s="130">
        <f t="shared" ref="A54:A100" si="161">A53+1</f>
        <v>45794</v>
      </c>
      <c r="B54" s="132">
        <f>YEAR(RD[[#This Row],[Date]])+IF(MONTH(RD[[#This Row],[Date]])&gt;=4,1,0)</f>
        <v>2026</v>
      </c>
      <c r="C54" s="132">
        <f>YEAR(RD[[#This Row],[Date]])</f>
        <v>2025</v>
      </c>
      <c r="D54" s="133">
        <f t="shared" ref="D54:D60" si="162">A54-DAY(A54)+1</f>
        <v>45778</v>
      </c>
      <c r="E54" s="132">
        <f>DAY(EOMONTH(RD[[#This Row],[Date]],0))</f>
        <v>31</v>
      </c>
      <c r="F54" s="146">
        <v>0.25486111111111109</v>
      </c>
      <c r="G54" s="156">
        <v>0.77222222222222225</v>
      </c>
      <c r="H54" s="121">
        <v>8359.5</v>
      </c>
      <c r="I54" s="121">
        <v>8265.4</v>
      </c>
      <c r="J54" s="121">
        <v>7809.3</v>
      </c>
      <c r="K54" s="121">
        <v>7963</v>
      </c>
      <c r="L54" s="121">
        <v>8169.9</v>
      </c>
      <c r="M54" s="121">
        <v>8393.5</v>
      </c>
      <c r="N54" s="121">
        <v>8095.2</v>
      </c>
      <c r="O54" s="121">
        <v>8779</v>
      </c>
      <c r="P54" s="121">
        <v>8206.1</v>
      </c>
      <c r="Q54" s="121">
        <v>8038.9</v>
      </c>
      <c r="R54" s="121">
        <v>8318</v>
      </c>
      <c r="S54" s="121">
        <v>8254.5</v>
      </c>
      <c r="T54" s="121">
        <v>8640.2000000000007</v>
      </c>
      <c r="U54" s="121">
        <v>8384.5</v>
      </c>
      <c r="V54" s="121">
        <v>8491.1</v>
      </c>
      <c r="W54" s="121">
        <v>8187.9</v>
      </c>
      <c r="X54" s="192">
        <v>11335.9</v>
      </c>
      <c r="Y54" s="192">
        <v>12187.6</v>
      </c>
      <c r="Z54" s="192">
        <v>11077.5</v>
      </c>
      <c r="AA54" s="192">
        <v>11560.1</v>
      </c>
      <c r="AB54" s="192">
        <v>12375.3</v>
      </c>
      <c r="AC54" s="192">
        <v>7634</v>
      </c>
      <c r="AD54" s="192">
        <v>11433.3</v>
      </c>
      <c r="AE54" s="192">
        <v>11678.9</v>
      </c>
      <c r="AF54" s="192">
        <v>11428</v>
      </c>
      <c r="AG54" s="192">
        <v>11297</v>
      </c>
      <c r="AH54" s="192">
        <v>11399</v>
      </c>
      <c r="AI54" s="192">
        <v>11460</v>
      </c>
      <c r="AJ54" s="192">
        <v>9652</v>
      </c>
      <c r="AK54" s="192">
        <v>9969</v>
      </c>
      <c r="AL54" s="192">
        <v>9833</v>
      </c>
      <c r="AM54" s="192">
        <v>9938</v>
      </c>
      <c r="AN54" s="192">
        <v>9789.5</v>
      </c>
      <c r="AO54" s="192">
        <v>10144</v>
      </c>
      <c r="AP54" s="192">
        <v>9910.6</v>
      </c>
      <c r="AQ54" s="192">
        <v>9821.5</v>
      </c>
      <c r="AR54" s="192">
        <v>8056.1</v>
      </c>
      <c r="AS54" s="192">
        <v>8135.9</v>
      </c>
      <c r="AT54" s="192">
        <v>8216.1</v>
      </c>
      <c r="AU54" s="192">
        <v>8145.7</v>
      </c>
      <c r="AV54" s="192">
        <v>8356.1</v>
      </c>
      <c r="AW54" s="192">
        <v>8215.6</v>
      </c>
      <c r="AX54" s="192">
        <v>11263</v>
      </c>
      <c r="AY54" s="192">
        <v>12507</v>
      </c>
      <c r="AZ54" s="192">
        <v>9081</v>
      </c>
      <c r="BA54" s="192">
        <v>11051</v>
      </c>
      <c r="BB54" s="192">
        <v>11153</v>
      </c>
      <c r="BC54" s="192">
        <v>9317</v>
      </c>
      <c r="BD54" s="192">
        <v>7859</v>
      </c>
      <c r="BE54" s="192">
        <v>10559</v>
      </c>
      <c r="BF54" s="192">
        <v>11451</v>
      </c>
      <c r="BG54" s="192">
        <v>11596</v>
      </c>
      <c r="BH54" s="192">
        <v>7206</v>
      </c>
      <c r="BI54" s="192">
        <v>4189</v>
      </c>
      <c r="BJ54" s="192">
        <v>7694</v>
      </c>
      <c r="BK54" s="192">
        <v>4270</v>
      </c>
      <c r="BL54" s="192">
        <v>7101</v>
      </c>
      <c r="BM54" s="192">
        <v>7203</v>
      </c>
      <c r="BN54" s="192">
        <v>8066</v>
      </c>
      <c r="BO54" s="192">
        <v>7544</v>
      </c>
      <c r="BP54" s="192">
        <v>8406</v>
      </c>
      <c r="BQ54" s="192">
        <v>7689</v>
      </c>
      <c r="BR54" s="192">
        <v>8230</v>
      </c>
      <c r="BS54" s="192">
        <v>7643</v>
      </c>
      <c r="BT54" s="192">
        <v>3384</v>
      </c>
      <c r="BU54" s="192">
        <v>2366</v>
      </c>
      <c r="BV54" s="192"/>
      <c r="BW54" s="192"/>
      <c r="BX54" s="192"/>
      <c r="BY54" s="192"/>
      <c r="BZ54" s="192">
        <v>1198</v>
      </c>
      <c r="CA54" s="192">
        <v>1019</v>
      </c>
      <c r="CB54" s="192">
        <v>4572</v>
      </c>
      <c r="CC54" s="192">
        <v>7767</v>
      </c>
      <c r="CD54" s="250">
        <v>4.4201695166666699</v>
      </c>
      <c r="CE54" s="250">
        <v>4.2501561499999996</v>
      </c>
      <c r="CF54" s="250">
        <v>4.8103242999999898</v>
      </c>
      <c r="CG54" s="250">
        <v>4.3603447499999897</v>
      </c>
      <c r="CH54" s="250">
        <v>0.50192093333333299</v>
      </c>
      <c r="CI54" s="250">
        <v>0.64031950000000004</v>
      </c>
      <c r="CJ54" s="250">
        <v>0.65559999999899998</v>
      </c>
      <c r="CK54" s="250">
        <v>0.66524051666666595</v>
      </c>
      <c r="CL54" s="250">
        <v>29.390847222222199</v>
      </c>
      <c r="CM54" s="250">
        <v>30.099181528662498</v>
      </c>
      <c r="CN54" s="250">
        <v>40.9957180555555</v>
      </c>
      <c r="CO54" s="250">
        <v>40.285086783439397</v>
      </c>
      <c r="CP54" s="250">
        <v>67.458125000000095</v>
      </c>
      <c r="CQ54" s="250">
        <v>62.900469745222999</v>
      </c>
      <c r="CR54" s="250">
        <v>0</v>
      </c>
      <c r="CS54" s="250">
        <v>0</v>
      </c>
      <c r="CT54" s="250">
        <v>1.1253041666666701</v>
      </c>
      <c r="CU54" s="250">
        <v>1.2758479299362999</v>
      </c>
      <c r="CV54" s="250">
        <v>4.3550000000000004</v>
      </c>
      <c r="CW54" s="250">
        <v>4.8049999999999997</v>
      </c>
      <c r="CX54" s="193">
        <f>IFERROR(AVERAGEIF(RD[[#This Row],[IS1POA1 (KWh/m2)]:[IS7POA2 (KWh/m2)]],"&lt;&gt;0",RD[[#This Row],[IS1POA1 (KWh/m2)]:[IS7POA2 (KWh/m2)]]),"")</f>
        <v>4.3351628333333352</v>
      </c>
      <c r="CY54" s="193">
        <f>IFERROR(AVERAGEIF(RD[[#This Row],[IS1GHI1 (KWh/m2)]:[IS7GHI2 (KWh/m2)]],"&lt;&gt;0",RD[[#This Row],[IS1GHI1 (KWh/m2)]:[IS7GHI2 (KWh/m2)]]),"")</f>
        <v>4.5853345249999897</v>
      </c>
      <c r="CZ54" s="193">
        <f>IFERROR(AVERAGEIF(RD[[#This Row],[IS1POA_BS1 (KWh/m2)]:[IS7POA_BS2 (KWh/m2)]],"&lt;&gt;0",RD[[#This Row],[IS1POA_BS1 (KWh/m2)]:[IS7POA_BS2 (KWh/m2)]]),"")</f>
        <v>0.57112021666666646</v>
      </c>
      <c r="DA54" s="193">
        <f>IFERROR(AVERAGEIF(RD[[#This Row],[IS1GHI_BS1 (KWh/m2)]:[IS1GHI_BS1 (KWh/m2)2]],"&lt;&gt;0",RD[[#This Row],[IS1GHI_BS1 (KWh/m2)]:[IS1GHI_BS1 (KWh/m2)2]]),"")</f>
        <v>0.66042025833283291</v>
      </c>
      <c r="DB54" s="193">
        <f>IFERROR(AVERAGEIF(RD[[#This Row],[IS1AT1 (°C)]:[IS7AT2 (°C)]],"&lt;&gt;0",RD[[#This Row],[IS1AT1 (°C)]:[IS7AT2 (°C)]]),"")</f>
        <v>29.745014375442349</v>
      </c>
      <c r="DC54" s="193">
        <f>IFERROR(AVERAGEIF(RD[[#This Row],[IS1MT1 (°C)]:[IS7MT2 (°C)]],"&lt;&gt;0",RD[[#This Row],[IS1MT1 (°C)]:[IS7MT2 (°C)]]),"")</f>
        <v>40.640402419497448</v>
      </c>
      <c r="DD54" s="193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193">
        <f>IFERROR(AVERAGEIF(RD[[#This Row],[WS_Solar1_Avg (m/s)]:[IS7_WS_Solar1_Avg (m/s)]],"&lt;&gt;0",RD[[#This Row],[WS_Solar1_Avg (m/s)]:[IS7_WS_Solar1_Avg (m/s)]]),"")</f>
        <v>1.2005760483014849</v>
      </c>
      <c r="DG54" s="193">
        <f>IFERROR(AVERAGEIF(RD[[#This Row],[WS_Solar1_Max (m/s)]:[IS7_WS_Solar1_Max (m/s)]],"&lt;&gt;0",RD[[#This Row],[WS_Solar1_Max (m/s)]:[IS7_WS_Solar1_Max (m/s)]]),"")</f>
        <v>4.58</v>
      </c>
      <c r="DH54" s="193">
        <f>SUM(RD[[#This Row],[IS1Inv1M1]:[IS4Inv4M2]])</f>
        <v>267222.59999999998</v>
      </c>
      <c r="DI54" s="194">
        <f>SUM(RD[[#This Row],[IS7Inv1M1]]+RD[[#This Row],[IS7Inv2M1]])</f>
        <v>16192</v>
      </c>
      <c r="DJ54" s="193">
        <f>SUM(RD[[#This Row],[IS5Inv1M1]:[IS5Inv2M2]])</f>
        <v>39392</v>
      </c>
      <c r="DK54" s="193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75">
        <f>SUM(RD[[#This Row],[IS12Inv1M1]:[IS12Inv1M4]])</f>
        <v>31705</v>
      </c>
      <c r="DO54" s="275">
        <f>SUM(RD[[#This Row],[IS13Inv1M1]:[IS13Inv2M2]])</f>
        <v>21623</v>
      </c>
      <c r="DP54" s="193">
        <f>SUM(RD[[#This Row],[O2R15]:[O2R26]])</f>
        <v>606789.69999999995</v>
      </c>
      <c r="DQ54" s="158">
        <v>40206.800000000003</v>
      </c>
      <c r="DR54" s="162">
        <v>211</v>
      </c>
      <c r="DS54" s="158">
        <v>34794.800000000003</v>
      </c>
      <c r="DT54" s="158">
        <v>223.1</v>
      </c>
      <c r="DU54" s="162">
        <v>40491.1</v>
      </c>
      <c r="DV54" s="162">
        <v>400.1</v>
      </c>
      <c r="DW54" s="158">
        <v>8363.6</v>
      </c>
      <c r="DX54" s="162">
        <v>39.1</v>
      </c>
      <c r="DY54" s="162"/>
      <c r="DZ54" s="162"/>
      <c r="EA54" s="134">
        <v>94.84</v>
      </c>
      <c r="EB54" s="230">
        <v>127189696</v>
      </c>
      <c r="EC54" s="229">
        <v>932201.21600000001</v>
      </c>
      <c r="ED54" s="230">
        <v>1119</v>
      </c>
      <c r="EE54" s="230">
        <v>121482</v>
      </c>
      <c r="EF54" s="158">
        <v>176389.3</v>
      </c>
      <c r="EG54" s="158">
        <v>1826.9</v>
      </c>
      <c r="EH54" s="140">
        <f>IF((RD[[#This Row],[33 kV_F3_Ex
Incomer1]]-DQ53)*1000&lt;0,0,(RD[[#This Row],[33 kV_F3_Ex
Incomer1]]-DQ53)*1000)</f>
        <v>133900.00000000146</v>
      </c>
      <c r="EI54" s="140">
        <f>IF((RD[[#This Row],[34 kV_F3_Im
Incomer1]]-DR53)*1000&lt;0,0,(RD[[#This Row],[34 kV_F3_Im
Incomer1]]-DR53)*1000)</f>
        <v>199.99999999998863</v>
      </c>
      <c r="EJ54" s="140">
        <f>IF((RD[[#This Row],[33 kV_F4_Ex
Incomer2]]-DS53)*1000&lt;0,0,(RD[[#This Row],[33 kV_F4_Ex
Incomer2]]-DS53)*1000)</f>
        <v>128400.00000000146</v>
      </c>
      <c r="EK54" s="140">
        <f>IF((RD[[#This Row],[34 kV_F4_Im
Incomer2]]-DT53)*1000&lt;0,0,(RD[[#This Row],[34 kV_F4_Im
Incomer2]]-DT53)*1000)</f>
        <v>299.99999999998295</v>
      </c>
      <c r="EL54" s="140">
        <f>IF((RD[[#This Row],[33 kV_F5_Ex
Incomer3]]-DU53)*1000&lt;0,0,(RD[[#This Row],[33 kV_F5_Ex
Incomer3]]-DU53)*1000)</f>
        <v>169500</v>
      </c>
      <c r="EM54" s="140">
        <f>IF((RD[[#This Row],[34 kV_F5_Im
Incomer3]]-DV53)*1000&lt;0,0,(RD[[#This Row],[34 kV_F5_Im
Incomer3]]-DV53)*1000)</f>
        <v>300.00000000001137</v>
      </c>
      <c r="EN54" s="140">
        <f>IF((RD[[#This Row],[33 kV_F6_Ex
Incomer4]]-DW53)*1000&lt;0,0,(RD[[#This Row],[33 kV_F6_Ex
Incomer4]]-DW53)*1000)</f>
        <v>164100.00000000035</v>
      </c>
      <c r="EO54" s="140">
        <f>IF((RD[[#This Row],[33 kV_F6_Im
Incomer4]]-DX53)*1000&lt;0,0,(RD[[#This Row],[33 kV_F6_Im
Incomer4]]-DX53)*1000)</f>
        <v>500</v>
      </c>
      <c r="EP54" s="140">
        <f>IF((RD[[#This Row],[33 kV_F7_Ex
Incomer5]]-DY53)*1000&lt;0,0,(RD[[#This Row],[33 kV_F7_Ex
Incomer5]]-DY53)*1000)</f>
        <v>0</v>
      </c>
      <c r="EQ54" s="140">
        <f>IF((RD[[#This Row],[33 kV_F7_Im
Incomer5]]-DZ53)*1000&lt;0,0,(RD[[#This Row],[33 kV_F7_Im
Incomer5]]-DZ53)*1000)</f>
        <v>0</v>
      </c>
      <c r="ER54" s="140">
        <f>IF((RD[[#This Row],[33 kV_Aux Trafo]]-EA53)*1000&lt;0,0,(RD[[#This Row],[33 kV_Aux Trafo]]-EA53)*1000)</f>
        <v>240.00000000000909</v>
      </c>
      <c r="ES54" s="152">
        <f>IF((RD[[#This Row],[33kV_OG1_Ex_]]-EB53)*1&lt;0,0,(RD[[#This Row],[33kV_OG1_Ex_]]-EB53)*1)</f>
        <v>596419</v>
      </c>
      <c r="ET54" s="140">
        <f>IF((RD[[#This Row],[33kV_OG1_Im]]-EC53)*1&lt;0,0,(RD[[#This Row],[33kV_OG1_Im]]-EC53)*1)</f>
        <v>1381.9520000000484</v>
      </c>
      <c r="EU54" s="140">
        <f>IF((RD[[#This Row],[132kV_TX1_EX]]-ED53)*720&lt;=0,"",(RD[[#This Row],[132kV_TX1_EX]]-ED53)*720)</f>
        <v>1440</v>
      </c>
      <c r="EV54" s="140">
        <f>IF((RD[[#This Row],[132 kV_Tx1_Im]]-EE53)*720&lt;=0,0,(RD[[#This Row],[132 kV_Tx1_Im]]-EE53)*720)</f>
        <v>427680</v>
      </c>
      <c r="EW54" s="140">
        <f>IF((RD[[#This Row],[132kV_L1_Ex]]-EF53)*720&lt;=0,0,(RD[[#This Row],[132kV_L1_Ex]]-EF53)*720)</f>
        <v>594431.99999998324</v>
      </c>
      <c r="EX54" s="140">
        <f>IF((RD[[#This Row],[132kV_L1_Im]]-EG53)*720&lt;=0,0,(RD[[#This Row],[132kV_L1_Im]]-EG53)*720)</f>
        <v>1584.0000000000327</v>
      </c>
      <c r="EY54" s="231">
        <f>IFERROR(RD[[#This Row],[33kV_OG1_Ex (MWh)]]+RD[[#This Row],[33kV_OG1_Im (MWh)]],"")</f>
        <v>597800.95200000005</v>
      </c>
      <c r="EZ54" s="142">
        <f>RD[[#This Row],[33kV_OG1_Ex (MWh)]]-RD[[#This Row],[33kV_OG1_Im (MWh)]]</f>
        <v>595037.04799999995</v>
      </c>
      <c r="FA54" s="142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32">
        <v>12.9</v>
      </c>
      <c r="FD54" s="233">
        <v>114</v>
      </c>
      <c r="FE54" t="s">
        <v>284</v>
      </c>
      <c r="FG54" s="138" t="str">
        <f>IFERROR(RD[[#This Row],[E_AC (WPR)]]/RD[[#This Row],[E_DC (WPR)]],"")</f>
        <v/>
      </c>
    </row>
    <row r="55" spans="1:163">
      <c r="A55" s="130">
        <f t="shared" si="161"/>
        <v>45795</v>
      </c>
      <c r="B55" s="132">
        <f>YEAR(RD[[#This Row],[Date]])+IF(MONTH(RD[[#This Row],[Date]])&gt;=4,1,0)</f>
        <v>2026</v>
      </c>
      <c r="C55" s="132">
        <f>YEAR(RD[[#This Row],[Date]])</f>
        <v>2025</v>
      </c>
      <c r="D55" s="133">
        <f t="shared" si="162"/>
        <v>45778</v>
      </c>
      <c r="E55" s="132">
        <f>DAY(EOMONTH(RD[[#This Row],[Date]],0))</f>
        <v>31</v>
      </c>
      <c r="F55" s="146">
        <v>0.25277777777777777</v>
      </c>
      <c r="G55" s="156">
        <v>0.76597222222222228</v>
      </c>
      <c r="H55" s="121">
        <v>7898.9</v>
      </c>
      <c r="I55" s="121">
        <v>7744.5</v>
      </c>
      <c r="J55" s="121">
        <v>7356.7</v>
      </c>
      <c r="K55" s="121">
        <v>7712</v>
      </c>
      <c r="L55" s="121">
        <v>8021.6</v>
      </c>
      <c r="M55" s="121">
        <v>8270.2999999999993</v>
      </c>
      <c r="N55" s="121">
        <v>7873</v>
      </c>
      <c r="O55" s="121">
        <v>8528.2999999999993</v>
      </c>
      <c r="P55" s="121">
        <v>7631.3</v>
      </c>
      <c r="Q55" s="121">
        <v>7693.6</v>
      </c>
      <c r="R55" s="121">
        <v>7932.6</v>
      </c>
      <c r="S55" s="121">
        <v>7747.9</v>
      </c>
      <c r="T55" s="121">
        <v>8072.5</v>
      </c>
      <c r="U55" s="121">
        <v>8030.9</v>
      </c>
      <c r="V55" s="121">
        <v>8011.7</v>
      </c>
      <c r="W55" s="121">
        <v>7530.6</v>
      </c>
      <c r="X55" s="192">
        <v>10560</v>
      </c>
      <c r="Y55" s="192">
        <v>11755.2</v>
      </c>
      <c r="Z55" s="192">
        <v>10178.5</v>
      </c>
      <c r="AA55" s="192">
        <v>10554.3</v>
      </c>
      <c r="AB55" s="192">
        <v>11454.5</v>
      </c>
      <c r="AC55" s="192">
        <v>7121.7</v>
      </c>
      <c r="AD55" s="192">
        <v>10608.6</v>
      </c>
      <c r="AE55" s="192">
        <v>10899.4</v>
      </c>
      <c r="AF55" s="192">
        <v>10674.3</v>
      </c>
      <c r="AG55" s="192">
        <v>10691.6</v>
      </c>
      <c r="AH55" s="192">
        <v>10690.9</v>
      </c>
      <c r="AI55" s="192">
        <v>10767.9</v>
      </c>
      <c r="AJ55" s="192">
        <v>7421.8</v>
      </c>
      <c r="AK55" s="192">
        <v>7613.5</v>
      </c>
      <c r="AL55" s="192">
        <v>7523.8</v>
      </c>
      <c r="AM55" s="192">
        <v>7612.6</v>
      </c>
      <c r="AN55" s="192">
        <v>9187</v>
      </c>
      <c r="AO55" s="192">
        <v>9568.2999999999993</v>
      </c>
      <c r="AP55" s="192">
        <v>9299.7000000000007</v>
      </c>
      <c r="AQ55" s="192">
        <v>9304.1</v>
      </c>
      <c r="AR55" s="192">
        <v>7691.2</v>
      </c>
      <c r="AS55" s="192">
        <v>7880.5</v>
      </c>
      <c r="AT55" s="192">
        <v>7759.6</v>
      </c>
      <c r="AU55" s="192">
        <v>7767.8</v>
      </c>
      <c r="AV55" s="192">
        <v>8022.1</v>
      </c>
      <c r="AW55" s="192">
        <v>7981.8</v>
      </c>
      <c r="AX55" s="192">
        <v>10655.1</v>
      </c>
      <c r="AY55" s="192">
        <v>12057.5</v>
      </c>
      <c r="AZ55" s="192">
        <v>8811</v>
      </c>
      <c r="BA55" s="192">
        <v>10707.8</v>
      </c>
      <c r="BB55" s="251">
        <v>11304.2</v>
      </c>
      <c r="BC55" s="251">
        <v>9403</v>
      </c>
      <c r="BD55" s="251">
        <v>7958.6</v>
      </c>
      <c r="BE55" s="251">
        <v>10717.6</v>
      </c>
      <c r="BF55" s="251">
        <v>11590</v>
      </c>
      <c r="BG55" s="251">
        <v>11620</v>
      </c>
      <c r="BH55" s="251">
        <v>7322.9</v>
      </c>
      <c r="BI55" s="251">
        <v>6858.6</v>
      </c>
      <c r="BJ55" s="251">
        <v>7664.5</v>
      </c>
      <c r="BK55" s="251">
        <v>4916.6000000000004</v>
      </c>
      <c r="BL55" s="251">
        <v>7196.2</v>
      </c>
      <c r="BM55" s="251">
        <v>7263.9</v>
      </c>
      <c r="BN55" s="251">
        <v>8127.3</v>
      </c>
      <c r="BO55" s="251">
        <v>7586.7</v>
      </c>
      <c r="BP55" s="251">
        <v>8323.2999999999993</v>
      </c>
      <c r="BQ55" s="251">
        <v>7812.4</v>
      </c>
      <c r="BR55" s="251">
        <v>8561</v>
      </c>
      <c r="BS55" s="251">
        <v>7926.9</v>
      </c>
      <c r="BT55" s="251">
        <v>3446.4</v>
      </c>
      <c r="BU55" s="251">
        <v>3206</v>
      </c>
      <c r="BV55" s="251"/>
      <c r="BW55" s="251"/>
      <c r="BX55" s="251"/>
      <c r="BY55" s="251"/>
      <c r="BZ55" s="251">
        <v>1228.8</v>
      </c>
      <c r="CA55" s="251">
        <v>1043.4000000000001</v>
      </c>
      <c r="CB55" s="251">
        <v>4731.7</v>
      </c>
      <c r="CC55" s="251">
        <v>7914.7</v>
      </c>
      <c r="CD55" s="250">
        <v>6.1103927166666612</v>
      </c>
      <c r="CE55" s="250">
        <v>5.3326652999999951</v>
      </c>
      <c r="CF55" s="250">
        <v>6.2304241666666691</v>
      </c>
      <c r="CG55" s="250">
        <v>5.4530126333333344</v>
      </c>
      <c r="CH55" s="250">
        <v>0.79716846666666674</v>
      </c>
      <c r="CI55" s="250">
        <v>0.81428471666666635</v>
      </c>
      <c r="CJ55" s="250">
        <v>1.2107732166666647</v>
      </c>
      <c r="CK55" s="250">
        <v>0.91531529999999917</v>
      </c>
      <c r="CL55" s="250">
        <v>30.904607922392938</v>
      </c>
      <c r="CM55" s="250">
        <v>30.914867026055617</v>
      </c>
      <c r="CN55" s="250">
        <v>45.883573969280526</v>
      </c>
      <c r="CO55" s="250">
        <v>43.695687331536398</v>
      </c>
      <c r="CP55" s="250">
        <v>65.242489894906953</v>
      </c>
      <c r="CQ55" s="250">
        <v>61.979568733153712</v>
      </c>
      <c r="CR55" s="250">
        <v>7.7607113985448603E-2</v>
      </c>
      <c r="CS55" s="250">
        <v>0</v>
      </c>
      <c r="CT55" s="250">
        <v>1.2860711398544862</v>
      </c>
      <c r="CU55" s="250">
        <v>1.3159829290206668</v>
      </c>
      <c r="CV55" s="250">
        <v>5.82</v>
      </c>
      <c r="CW55" s="250">
        <v>6.5579999999999998</v>
      </c>
      <c r="CX55" s="193">
        <f>IFERROR(AVERAGEIF(RD[[#This Row],[IS1POA1 (KWh/m2)]:[IS7POA2 (KWh/m2)]],"&lt;&gt;0",RD[[#This Row],[IS1POA1 (KWh/m2)]:[IS7POA2 (KWh/m2)]]),"")</f>
        <v>5.7215290083333281</v>
      </c>
      <c r="CY55" s="193">
        <f>IFERROR(AVERAGEIF(RD[[#This Row],[IS1GHI1 (KWh/m2)]:[IS7GHI2 (KWh/m2)]],"&lt;&gt;0",RD[[#This Row],[IS1GHI1 (KWh/m2)]:[IS7GHI2 (KWh/m2)]]),"")</f>
        <v>5.8417184000000013</v>
      </c>
      <c r="CZ55" s="193">
        <f>IFERROR(AVERAGEIF(RD[[#This Row],[IS1POA_BS1 (KWh/m2)]:[IS7POA_BS2 (KWh/m2)]],"&lt;&gt;0",RD[[#This Row],[IS1POA_BS1 (KWh/m2)]:[IS7POA_BS2 (KWh/m2)]]),"")</f>
        <v>0.80572659166666649</v>
      </c>
      <c r="DA55" s="193">
        <f>IFERROR(AVERAGEIF(RD[[#This Row],[IS1GHI_BS1 (KWh/m2)]:[IS1GHI_BS1 (KWh/m2)2]],"&lt;&gt;0",RD[[#This Row],[IS1GHI_BS1 (KWh/m2)]:[IS1GHI_BS1 (KWh/m2)2]]),"")</f>
        <v>1.0630442583333319</v>
      </c>
      <c r="DB55" s="193">
        <f>IFERROR(AVERAGEIF(RD[[#This Row],[IS1AT1 (°C)]:[IS7AT2 (°C)]],"&lt;&gt;0",RD[[#This Row],[IS1AT1 (°C)]:[IS7AT2 (°C)]]),"")</f>
        <v>30.909737474224279</v>
      </c>
      <c r="DC55" s="193">
        <f>IFERROR(AVERAGEIF(RD[[#This Row],[IS1MT1 (°C)]:[IS7MT2 (°C)]],"&lt;&gt;0",RD[[#This Row],[IS1MT1 (°C)]:[IS7MT2 (°C)]]),"")</f>
        <v>44.789630650408462</v>
      </c>
      <c r="DD55" s="193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193">
        <f>IFERROR(AVERAGEIF(RD[[#This Row],[WS_Solar1_Avg (m/s)]:[IS7_WS_Solar1_Avg (m/s)]],"&lt;&gt;0",RD[[#This Row],[WS_Solar1_Avg (m/s)]:[IS7_WS_Solar1_Avg (m/s)]]),"")</f>
        <v>1.3010270344375765</v>
      </c>
      <c r="DG55" s="193">
        <f>IFERROR(AVERAGEIF(RD[[#This Row],[WS_Solar1_Max (m/s)]:[IS7_WS_Solar1_Max (m/s)]],"&lt;&gt;0",RD[[#This Row],[WS_Solar1_Max (m/s)]:[IS7_WS_Solar1_Max (m/s)]]),"")</f>
        <v>6.1890000000000001</v>
      </c>
      <c r="DH55" s="193">
        <f>SUM(RD[[#This Row],[IS1Inv1M1]:[IS4Inv4M2]])</f>
        <v>252013.30000000002</v>
      </c>
      <c r="DI55" s="194">
        <f>SUM(RD[[#This Row],[IS7Inv1M1]]+RD[[#This Row],[IS7Inv2M1]])</f>
        <v>15571.7</v>
      </c>
      <c r="DJ55" s="193">
        <f>SUM(RD[[#This Row],[IS5Inv1M1]:[IS5Inv2M2]])</f>
        <v>30171.699999999997</v>
      </c>
      <c r="DK55" s="193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75">
        <f>SUM(RD[[#This Row],[IS12Inv1M1]:[IS12Inv1M4]])</f>
        <v>31849.699999999997</v>
      </c>
      <c r="DO55" s="275">
        <f>SUM(RD[[#This Row],[IS13Inv1M1]:[IS13Inv2M2]])</f>
        <v>23140.300000000003</v>
      </c>
      <c r="DP55" s="193">
        <f>SUM(RD[[#This Row],[O2R15]:[O2R26]])</f>
        <v>582603.19999999995</v>
      </c>
      <c r="DQ55" s="158">
        <v>40332</v>
      </c>
      <c r="DR55" s="162">
        <v>211.3</v>
      </c>
      <c r="DS55" s="158">
        <v>34917.5</v>
      </c>
      <c r="DT55" s="158">
        <v>223.3</v>
      </c>
      <c r="DU55" s="162">
        <v>40645.9</v>
      </c>
      <c r="DV55" s="162">
        <v>400.6</v>
      </c>
      <c r="DW55" s="158">
        <v>8534.1</v>
      </c>
      <c r="DX55" s="162">
        <v>39.1</v>
      </c>
      <c r="DY55" s="162"/>
      <c r="DZ55" s="162"/>
      <c r="EA55" s="134">
        <v>95.08</v>
      </c>
      <c r="EB55" s="230">
        <v>127763161</v>
      </c>
      <c r="EC55" s="229">
        <v>933235.96799999999</v>
      </c>
      <c r="ED55" s="230">
        <v>1120</v>
      </c>
      <c r="EE55" s="230">
        <v>122054</v>
      </c>
      <c r="EF55" s="158">
        <v>177183.1</v>
      </c>
      <c r="EG55" s="158">
        <v>1829.2</v>
      </c>
      <c r="EH55" s="140">
        <f>IF((RD[[#This Row],[33 kV_F3_Ex
Incomer1]]-DQ54)*1000&lt;0,0,(RD[[#This Row],[33 kV_F3_Ex
Incomer1]]-DQ54)*1000)</f>
        <v>125199.99999999709</v>
      </c>
      <c r="EI55" s="140">
        <f>IF((RD[[#This Row],[34 kV_F3_Im
Incomer1]]-DR54)*1000&lt;0,0,(RD[[#This Row],[34 kV_F3_Im
Incomer1]]-DR54)*1000)</f>
        <v>300.00000000001137</v>
      </c>
      <c r="EJ55" s="140">
        <f>IF((RD[[#This Row],[33 kV_F4_Ex
Incomer2]]-DS54)*1000&lt;0,0,(RD[[#This Row],[33 kV_F4_Ex
Incomer2]]-DS54)*1000)</f>
        <v>122699.99999999709</v>
      </c>
      <c r="EK55" s="140">
        <f>IF((RD[[#This Row],[34 kV_F4_Im
Incomer2]]-DT54)*1000&lt;0,0,(RD[[#This Row],[34 kV_F4_Im
Incomer2]]-DT54)*1000)</f>
        <v>200.00000000001705</v>
      </c>
      <c r="EL55" s="140">
        <f>IF((RD[[#This Row],[33 kV_F5_Ex
Incomer3]]-DU54)*1000&lt;0,0,(RD[[#This Row],[33 kV_F5_Ex
Incomer3]]-DU54)*1000)</f>
        <v>154800.00000000291</v>
      </c>
      <c r="EM55" s="140">
        <f>IF((RD[[#This Row],[34 kV_F5_Im
Incomer3]]-DV54)*1000&lt;0,0,(RD[[#This Row],[34 kV_F5_Im
Incomer3]]-DV54)*1000)</f>
        <v>500</v>
      </c>
      <c r="EN55" s="140">
        <f>IF((RD[[#This Row],[33 kV_F6_Ex
Incomer4]]-DW54)*1000&lt;0,0,(RD[[#This Row],[33 kV_F6_Ex
Incomer4]]-DW54)*1000)</f>
        <v>170500</v>
      </c>
      <c r="EO55" s="140">
        <f t="shared" ref="EO55:EO70" si="163">EK52</f>
        <v>400.00000000000568</v>
      </c>
      <c r="EP55" s="140">
        <f>IF((RD[[#This Row],[33 kV_F7_Ex
Incomer5]]-DY54)*1000&lt;0,0,(RD[[#This Row],[33 kV_F7_Ex
Incomer5]]-DY54)*1000)</f>
        <v>0</v>
      </c>
      <c r="EQ55" s="140">
        <f>IF((RD[[#This Row],[33 kV_F7_Im
Incomer5]]-DZ54)*1000&lt;0,0,(RD[[#This Row],[33 kV_F7_Im
Incomer5]]-DZ54)*1000)</f>
        <v>0</v>
      </c>
      <c r="ER55" s="140">
        <f>IF((RD[[#This Row],[33 kV_Aux Trafo]]-EA54)*1000&lt;0,0,(RD[[#This Row],[33 kV_Aux Trafo]]-EA54)*1000)</f>
        <v>239.99999999999488</v>
      </c>
      <c r="ES55" s="152">
        <f>IF((RD[[#This Row],[33kV_OG1_Ex_]]-EB54)*1&lt;0,0,(RD[[#This Row],[33kV_OG1_Ex_]]-EB54)*1)</f>
        <v>573465</v>
      </c>
      <c r="ET55" s="140">
        <f>IF((RD[[#This Row],[33kV_OG1_Im]]-EC54)*1&lt;0,0,(RD[[#This Row],[33kV_OG1_Im]]-EC54)*1)</f>
        <v>1034.7519999999786</v>
      </c>
      <c r="EU55" s="140">
        <f>IF((RD[[#This Row],[132kV_TX1_EX]]-ED54)*720&lt;=0,"",(RD[[#This Row],[132kV_TX1_EX]]-ED54)*720)</f>
        <v>720</v>
      </c>
      <c r="EV55" s="140">
        <f>IF((RD[[#This Row],[132 kV_Tx1_Im]]-EE54)*720&lt;=0,0,(RD[[#This Row],[132 kV_Tx1_Im]]-EE54)*720)</f>
        <v>411840</v>
      </c>
      <c r="EW55" s="140">
        <f>IF((RD[[#This Row],[132kV_L1_Ex]]-EF54)*720&lt;=0,0,(RD[[#This Row],[132kV_L1_Ex]]-EF54)*720)</f>
        <v>571536.00000001257</v>
      </c>
      <c r="EX55" s="140">
        <f>IF((RD[[#This Row],[132kV_L1_Im]]-EG54)*720&lt;=0,0,(RD[[#This Row],[132kV_L1_Im]]-EG54)*720)</f>
        <v>1655.9999999999673</v>
      </c>
      <c r="EY55" s="231">
        <f>IFERROR(RD[[#This Row],[33kV_OG1_Ex (MWh)]]+RD[[#This Row],[33kV_OG1_Im (MWh)]],"")</f>
        <v>574499.75199999998</v>
      </c>
      <c r="EZ55" s="142">
        <f>RD[[#This Row],[33kV_OG1_Ex (MWh)]]-RD[[#This Row],[33kV_OG1_Im (MWh)]]</f>
        <v>572430.24800000002</v>
      </c>
      <c r="FA55" s="142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32">
        <v>12.9</v>
      </c>
      <c r="FD55" s="233">
        <v>114</v>
      </c>
      <c r="FE55" s="287" t="s">
        <v>285</v>
      </c>
      <c r="FG55" s="138" t="str">
        <f>IFERROR(RD[[#This Row],[E_AC (WPR)]]/RD[[#This Row],[E_DC (WPR)]],"")</f>
        <v/>
      </c>
    </row>
    <row r="56" spans="1:163">
      <c r="A56" s="130">
        <f t="shared" si="161"/>
        <v>45796</v>
      </c>
      <c r="B56" s="132">
        <f>YEAR(RD[[#This Row],[Date]])+IF(MONTH(RD[[#This Row],[Date]])&gt;=4,1,0)</f>
        <v>2026</v>
      </c>
      <c r="C56" s="132">
        <f>YEAR(RD[[#This Row],[Date]])</f>
        <v>2025</v>
      </c>
      <c r="D56" s="133">
        <f t="shared" si="162"/>
        <v>45778</v>
      </c>
      <c r="E56" s="132">
        <f>DAY(EOMONTH(RD[[#This Row],[Date]],0))</f>
        <v>31</v>
      </c>
      <c r="F56" s="146">
        <v>0.25624999999999998</v>
      </c>
      <c r="G56" s="156">
        <v>0.74791666666666667</v>
      </c>
      <c r="H56" s="121">
        <v>7276.7</v>
      </c>
      <c r="I56" s="121">
        <v>7284</v>
      </c>
      <c r="J56" s="121">
        <v>6805.3</v>
      </c>
      <c r="K56" s="121">
        <v>6734.4</v>
      </c>
      <c r="L56" s="121">
        <v>6930.4</v>
      </c>
      <c r="M56" s="121">
        <v>7185.3</v>
      </c>
      <c r="N56" s="121">
        <v>6955.1</v>
      </c>
      <c r="O56" s="121">
        <v>7696.5</v>
      </c>
      <c r="P56" s="121">
        <v>7037</v>
      </c>
      <c r="Q56" s="121">
        <v>6820.9</v>
      </c>
      <c r="R56" s="121">
        <v>7120</v>
      </c>
      <c r="S56" s="121">
        <v>7099.7</v>
      </c>
      <c r="T56" s="121">
        <v>7453</v>
      </c>
      <c r="U56" s="121">
        <v>7231.1</v>
      </c>
      <c r="V56" s="121">
        <v>7302.9</v>
      </c>
      <c r="W56" s="121">
        <v>6948.8</v>
      </c>
      <c r="X56" s="192">
        <v>9735</v>
      </c>
      <c r="Y56" s="192">
        <v>10907.3</v>
      </c>
      <c r="Z56" s="192">
        <v>9447.2999999999993</v>
      </c>
      <c r="AA56" s="192">
        <v>9919.1</v>
      </c>
      <c r="AB56" s="192">
        <v>10607.7</v>
      </c>
      <c r="AC56" s="192">
        <v>6677.1</v>
      </c>
      <c r="AD56" s="192">
        <v>10044.4</v>
      </c>
      <c r="AE56" s="192">
        <v>10239.200000000001</v>
      </c>
      <c r="AF56" s="192">
        <v>10063.200000000001</v>
      </c>
      <c r="AG56" s="192">
        <v>9984.9</v>
      </c>
      <c r="AH56" s="192">
        <v>10006.4</v>
      </c>
      <c r="AI56" s="192">
        <v>10055.1</v>
      </c>
      <c r="AJ56" s="192">
        <v>7030.3</v>
      </c>
      <c r="AK56" s="192">
        <v>7201</v>
      </c>
      <c r="AL56" s="192">
        <v>7062.3</v>
      </c>
      <c r="AM56" s="192">
        <v>7153.2</v>
      </c>
      <c r="AN56" s="192">
        <v>7845.4</v>
      </c>
      <c r="AO56" s="192">
        <v>8129.5</v>
      </c>
      <c r="AP56" s="192">
        <v>7926</v>
      </c>
      <c r="AQ56" s="192">
        <v>7883</v>
      </c>
      <c r="AR56" s="192">
        <v>6748.4</v>
      </c>
      <c r="AS56" s="192">
        <v>6832.6</v>
      </c>
      <c r="AT56" s="192">
        <v>6827.6</v>
      </c>
      <c r="AU56" s="192">
        <v>6821.2</v>
      </c>
      <c r="AV56" s="192">
        <v>7003.9</v>
      </c>
      <c r="AW56" s="192">
        <v>6870</v>
      </c>
      <c r="AX56" s="192">
        <v>10655.4</v>
      </c>
      <c r="AY56" s="192">
        <v>12057.8</v>
      </c>
      <c r="AZ56" s="192">
        <v>8811</v>
      </c>
      <c r="BA56" s="192">
        <v>10707.8</v>
      </c>
      <c r="BB56" s="192">
        <v>10537.5</v>
      </c>
      <c r="BC56" s="192">
        <v>8802.2000000000007</v>
      </c>
      <c r="BD56" s="192">
        <v>7450.9</v>
      </c>
      <c r="BE56" s="192">
        <v>9918.6</v>
      </c>
      <c r="BF56" s="192">
        <v>11250</v>
      </c>
      <c r="BG56" s="192">
        <v>11315</v>
      </c>
      <c r="BH56" s="192">
        <v>6874.5</v>
      </c>
      <c r="BI56" s="192">
        <v>6875.9</v>
      </c>
      <c r="BJ56" s="192">
        <v>7264.3</v>
      </c>
      <c r="BK56" s="192">
        <v>5021.1000000000004</v>
      </c>
      <c r="BL56" s="192">
        <v>6898.5</v>
      </c>
      <c r="BM56" s="192">
        <v>6997.6</v>
      </c>
      <c r="BN56" s="192">
        <v>7391.8</v>
      </c>
      <c r="BO56" s="192">
        <v>7159.8</v>
      </c>
      <c r="BP56" s="192">
        <v>8020.4</v>
      </c>
      <c r="BQ56" s="192">
        <v>7246</v>
      </c>
      <c r="BR56" s="192">
        <v>8064.5</v>
      </c>
      <c r="BS56" s="192">
        <v>7474.4</v>
      </c>
      <c r="BT56" s="192">
        <v>3361.2</v>
      </c>
      <c r="BU56" s="192">
        <v>3127.3</v>
      </c>
      <c r="BV56" s="192"/>
      <c r="BW56" s="192"/>
      <c r="BX56" s="192"/>
      <c r="BY56" s="192"/>
      <c r="BZ56" s="192">
        <v>1147.0999999999999</v>
      </c>
      <c r="CA56" s="192">
        <v>975.2</v>
      </c>
      <c r="CB56" s="192">
        <v>4436.3999999999996</v>
      </c>
      <c r="CC56" s="192">
        <v>7429.7</v>
      </c>
      <c r="CD56" s="250">
        <v>5.4001377333333238</v>
      </c>
      <c r="CE56" s="250">
        <v>5.3645881999999956</v>
      </c>
      <c r="CF56" s="250">
        <v>5.5126714333333373</v>
      </c>
      <c r="CG56" s="250">
        <v>5.3625846499999898</v>
      </c>
      <c r="CH56" s="250">
        <v>0.65075798333333457</v>
      </c>
      <c r="CI56" s="250">
        <v>0.82256958333333297</v>
      </c>
      <c r="CJ56" s="250">
        <v>1.0342258999999991</v>
      </c>
      <c r="CK56" s="250">
        <v>0.91748258333333277</v>
      </c>
      <c r="CL56" s="250">
        <v>30.920164203612511</v>
      </c>
      <c r="CM56" s="250">
        <v>31.895389025389083</v>
      </c>
      <c r="CN56" s="250">
        <v>45.327146141215074</v>
      </c>
      <c r="CO56" s="250">
        <v>44.433634725634761</v>
      </c>
      <c r="CP56" s="250">
        <v>63.360131362890009</v>
      </c>
      <c r="CQ56" s="250">
        <v>58.712760032759945</v>
      </c>
      <c r="CR56" s="250">
        <v>0.29555008210180617</v>
      </c>
      <c r="CS56" s="250">
        <v>0</v>
      </c>
      <c r="CT56" s="250">
        <v>1.0485172413793118</v>
      </c>
      <c r="CU56" s="250">
        <v>1.2361056511056505</v>
      </c>
      <c r="CV56" s="250">
        <v>4.5449999999999999</v>
      </c>
      <c r="CW56" s="250">
        <v>4.4939999999999998</v>
      </c>
      <c r="CX56" s="193">
        <f>IFERROR(AVERAGEIF(RD[[#This Row],[IS1POA1 (KWh/m2)]:[IS7POA2 (KWh/m2)]],"&lt;&gt;0",RD[[#This Row],[IS1POA1 (KWh/m2)]:[IS7POA2 (KWh/m2)]]),"")</f>
        <v>5.3823629666666601</v>
      </c>
      <c r="CY56" s="193">
        <f>IFERROR(AVERAGEIF(RD[[#This Row],[IS1GHI1 (KWh/m2)]:[IS7GHI2 (KWh/m2)]],"&lt;&gt;0",RD[[#This Row],[IS1GHI1 (KWh/m2)]:[IS7GHI2 (KWh/m2)]]),"")</f>
        <v>5.4376280416666631</v>
      </c>
      <c r="CZ56" s="193">
        <f>IFERROR(AVERAGEIF(RD[[#This Row],[IS1POA_BS1 (KWh/m2)]:[IS7POA_BS2 (KWh/m2)]],"&lt;&gt;0",RD[[#This Row],[IS1POA_BS1 (KWh/m2)]:[IS7POA_BS2 (KWh/m2)]]),"")</f>
        <v>0.73666378333333382</v>
      </c>
      <c r="DA56" s="193">
        <f>IFERROR(AVERAGEIF(RD[[#This Row],[IS1GHI_BS1 (KWh/m2)]:[IS1GHI_BS1 (KWh/m2)2]],"&lt;&gt;0",RD[[#This Row],[IS1GHI_BS1 (KWh/m2)]:[IS1GHI_BS1 (KWh/m2)2]]),"")</f>
        <v>0.97585424166666601</v>
      </c>
      <c r="DB56" s="193">
        <f>IFERROR(AVERAGEIF(RD[[#This Row],[IS1AT1 (°C)]:[IS7AT2 (°C)]],"&lt;&gt;0",RD[[#This Row],[IS1AT1 (°C)]:[IS7AT2 (°C)]]),"")</f>
        <v>31.407776614500797</v>
      </c>
      <c r="DC56" s="193">
        <f>IFERROR(AVERAGEIF(RD[[#This Row],[IS1MT1 (°C)]:[IS7MT2 (°C)]],"&lt;&gt;0",RD[[#This Row],[IS1MT1 (°C)]:[IS7MT2 (°C)]]),"")</f>
        <v>44.880390433424921</v>
      </c>
      <c r="DD56" s="193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193">
        <f>IFERROR(AVERAGEIF(RD[[#This Row],[WS_Solar1_Avg (m/s)]:[IS7_WS_Solar1_Avg (m/s)]],"&lt;&gt;0",RD[[#This Row],[WS_Solar1_Avg (m/s)]:[IS7_WS_Solar1_Avg (m/s)]]),"")</f>
        <v>1.142311446242481</v>
      </c>
      <c r="DG56" s="193">
        <f>IFERROR(AVERAGEIF(RD[[#This Row],[WS_Solar1_Max (m/s)]:[IS7_WS_Solar1_Max (m/s)]],"&lt;&gt;0",RD[[#This Row],[WS_Solar1_Max (m/s)]:[IS7_WS_Solar1_Max (m/s)]]),"")</f>
        <v>4.5194999999999999</v>
      </c>
      <c r="DH56" s="193">
        <f>SUM(RD[[#This Row],[IS1Inv1M1]:[IS4Inv4M2]])</f>
        <v>231567.80000000002</v>
      </c>
      <c r="DI56" s="194">
        <f>SUM(RD[[#This Row],[IS7Inv1M1]]+RD[[#This Row],[IS7Inv2M1]])</f>
        <v>13581</v>
      </c>
      <c r="DJ56" s="193">
        <f>SUM(RD[[#This Row],[IS5Inv1M1]:[IS5Inv2M2]])</f>
        <v>28446.799999999999</v>
      </c>
      <c r="DK56" s="193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75">
        <f>SUM(RD[[#This Row],[IS12Inv1M1]:[IS12Inv1M4]])</f>
        <v>29818</v>
      </c>
      <c r="DO56" s="275">
        <f>SUM(RD[[#This Row],[IS13Inv1M1]:[IS13Inv2M2]])</f>
        <v>22027.399999999998</v>
      </c>
      <c r="DP56" s="193">
        <f>SUM(RD[[#This Row],[O2R15]:[O2R26]])</f>
        <v>540174.10000000009</v>
      </c>
      <c r="DQ56" s="158">
        <v>40448.800000000003</v>
      </c>
      <c r="DR56" s="162">
        <v>211.7</v>
      </c>
      <c r="DS56" s="158">
        <v>35028.800000000003</v>
      </c>
      <c r="DT56" s="158">
        <v>223.7</v>
      </c>
      <c r="DU56" s="162">
        <v>40782.400000000001</v>
      </c>
      <c r="DV56" s="162">
        <v>401.3</v>
      </c>
      <c r="DW56" s="158">
        <v>8694.9</v>
      </c>
      <c r="DX56" s="162">
        <v>39.799999999999997</v>
      </c>
      <c r="DY56" s="162"/>
      <c r="DZ56" s="162"/>
      <c r="EA56" s="134">
        <v>95.39</v>
      </c>
      <c r="EB56" s="230">
        <v>128288612</v>
      </c>
      <c r="EC56" s="229">
        <v>935657.08799999999</v>
      </c>
      <c r="ED56" s="230">
        <v>1123</v>
      </c>
      <c r="EE56" s="230">
        <v>122557</v>
      </c>
      <c r="EF56" s="158">
        <v>177910.5</v>
      </c>
      <c r="EG56" s="158">
        <v>1833.3</v>
      </c>
      <c r="EH56" s="140">
        <f>IF((RD[[#This Row],[33 kV_F3_Ex
Incomer1]]-DQ55)*1000&lt;0,0,(RD[[#This Row],[33 kV_F3_Ex
Incomer1]]-DQ55)*1000)</f>
        <v>116800.00000000291</v>
      </c>
      <c r="EI56" s="140">
        <f>IF((RD[[#This Row],[34 kV_F3_Im
Incomer1]]-DR55)*1000&lt;0,0,(RD[[#This Row],[34 kV_F3_Im
Incomer1]]-DR55)*1000)</f>
        <v>399.99999999997726</v>
      </c>
      <c r="EJ56" s="140">
        <f>IF((RD[[#This Row],[33 kV_F4_Ex
Incomer2]]-DS55)*1000&lt;0,0,(RD[[#This Row],[33 kV_F4_Ex
Incomer2]]-DS55)*1000)</f>
        <v>111300.00000000291</v>
      </c>
      <c r="EK56" s="140">
        <f>IF((RD[[#This Row],[34 kV_F4_Im
Incomer2]]-DT55)*1000&lt;0,0,(RD[[#This Row],[34 kV_F4_Im
Incomer2]]-DT55)*1000)</f>
        <v>399.99999999997726</v>
      </c>
      <c r="EL56" s="140">
        <f>IF((RD[[#This Row],[33 kV_F5_Ex
Incomer3]]-DU55)*1000&lt;0,0,(RD[[#This Row],[33 kV_F5_Ex
Incomer3]]-DU55)*1000)</f>
        <v>136500</v>
      </c>
      <c r="EM56" s="140">
        <f>IF((RD[[#This Row],[34 kV_F5_Im
Incomer3]]-DV55)*1000&lt;0,0,(RD[[#This Row],[34 kV_F5_Im
Incomer3]]-DV55)*1000)</f>
        <v>699.99999999998863</v>
      </c>
      <c r="EN56" s="140">
        <f>IF((RD[[#This Row],[33 kV_F6_Ex
Incomer4]]-DW55)*1000&lt;0,0,(RD[[#This Row],[33 kV_F6_Ex
Incomer4]]-DW55)*1000)</f>
        <v>160799.99999999927</v>
      </c>
      <c r="EO56" s="140">
        <f t="shared" si="163"/>
        <v>300.00000000001137</v>
      </c>
      <c r="EP56" s="140">
        <f>IF((RD[[#This Row],[33 kV_F7_Ex
Incomer5]]-DY55)*1000&lt;0,0,(RD[[#This Row],[33 kV_F7_Ex
Incomer5]]-DY55)*1000)</f>
        <v>0</v>
      </c>
      <c r="EQ56" s="140">
        <f>IF((RD[[#This Row],[33 kV_F7_Im
Incomer5]]-DZ55)*1000&lt;0,0,(RD[[#This Row],[33 kV_F7_Im
Incomer5]]-DZ55)*1000)</f>
        <v>0</v>
      </c>
      <c r="ER56" s="140">
        <f>IF((RD[[#This Row],[33 kV_Aux Trafo]]-EA55)*1000&lt;0,0,(RD[[#This Row],[33 kV_Aux Trafo]]-EA55)*1000)</f>
        <v>310.00000000000227</v>
      </c>
      <c r="ES56" s="152">
        <f>IF((RD[[#This Row],[33kV_OG1_Ex_]]-EB55)*1&lt;0,0,(RD[[#This Row],[33kV_OG1_Ex_]]-EB55)*1)</f>
        <v>525451</v>
      </c>
      <c r="ET56" s="140">
        <f>IF((RD[[#This Row],[33kV_OG1_Im]]-EC55)*1&lt;0,0,(RD[[#This Row],[33kV_OG1_Im]]-EC55)*1)</f>
        <v>2421.1199999999953</v>
      </c>
      <c r="EU56" s="140">
        <f>IF((RD[[#This Row],[132kV_TX1_EX]]-ED55)*720&lt;=0,"",(RD[[#This Row],[132kV_TX1_EX]]-ED55)*720)</f>
        <v>2160</v>
      </c>
      <c r="EV56" s="140">
        <f>IF((RD[[#This Row],[132 kV_Tx1_Im]]-EE55)*720&lt;=0,0,(RD[[#This Row],[132 kV_Tx1_Im]]-EE55)*720)</f>
        <v>362160</v>
      </c>
      <c r="EW56" s="140">
        <f>IF((RD[[#This Row],[132kV_L1_Ex]]-EF55)*720&lt;=0,0,(RD[[#This Row],[132kV_L1_Ex]]-EF55)*720)</f>
        <v>523727.99999999581</v>
      </c>
      <c r="EX56" s="140">
        <f>IF((RD[[#This Row],[132kV_L1_Im]]-EG55)*720&lt;=0,0,(RD[[#This Row],[132kV_L1_Im]]-EG55)*720)</f>
        <v>2951.9999999999345</v>
      </c>
      <c r="EY56" s="231">
        <f>IFERROR(RD[[#This Row],[33kV_OG1_Ex (MWh)]]+RD[[#This Row],[33kV_OG1_Im (MWh)]],"")</f>
        <v>527872.12</v>
      </c>
      <c r="EZ56" s="142">
        <f>RD[[#This Row],[33kV_OG1_Ex (MWh)]]-RD[[#This Row],[33kV_OG1_Im (MWh)]]</f>
        <v>523029.88</v>
      </c>
      <c r="FA56" s="142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32">
        <v>12.9</v>
      </c>
      <c r="FD56" s="233">
        <v>118</v>
      </c>
      <c r="FE56" s="287" t="s">
        <v>286</v>
      </c>
      <c r="FG56" s="138" t="str">
        <f>IFERROR(RD[[#This Row],[E_AC (WPR)]]/RD[[#This Row],[E_DC (WPR)]],"")</f>
        <v/>
      </c>
    </row>
    <row r="57" spans="1:163">
      <c r="A57" s="130">
        <f t="shared" si="161"/>
        <v>45797</v>
      </c>
      <c r="B57" s="132">
        <f>YEAR(RD[[#This Row],[Date]])+IF(MONTH(RD[[#This Row],[Date]])&gt;=4,1,0)</f>
        <v>2026</v>
      </c>
      <c r="C57" s="132">
        <f>YEAR(RD[[#This Row],[Date]])</f>
        <v>2025</v>
      </c>
      <c r="D57" s="133">
        <f t="shared" si="162"/>
        <v>45778</v>
      </c>
      <c r="E57" s="132">
        <f>DAY(EOMONTH(RD[[#This Row],[Date]],0))</f>
        <v>31</v>
      </c>
      <c r="F57" s="146">
        <v>0.25486111111111109</v>
      </c>
      <c r="G57" s="156">
        <v>0.77361111111111114</v>
      </c>
      <c r="H57" s="121">
        <v>6116</v>
      </c>
      <c r="I57" s="253">
        <v>6052</v>
      </c>
      <c r="J57" s="121">
        <v>5645.5</v>
      </c>
      <c r="K57" s="121">
        <v>5715.3</v>
      </c>
      <c r="L57" s="121">
        <v>5876.7</v>
      </c>
      <c r="M57" s="121">
        <v>6100.3</v>
      </c>
      <c r="N57" s="121">
        <v>5889.6</v>
      </c>
      <c r="O57" s="121">
        <v>6587.8</v>
      </c>
      <c r="P57" s="121">
        <v>5942.7</v>
      </c>
      <c r="Q57" s="121">
        <v>5767.8</v>
      </c>
      <c r="R57" s="121">
        <v>5991.1</v>
      </c>
      <c r="S57" s="254">
        <v>5963</v>
      </c>
      <c r="T57" s="121">
        <v>6271.3</v>
      </c>
      <c r="U57" s="121">
        <v>5996.4</v>
      </c>
      <c r="V57" s="121">
        <v>6150.4</v>
      </c>
      <c r="W57" s="121">
        <v>5872.5</v>
      </c>
      <c r="X57" s="254">
        <v>8200</v>
      </c>
      <c r="Y57" s="192">
        <v>9183</v>
      </c>
      <c r="Z57" s="192">
        <v>8022</v>
      </c>
      <c r="AA57" s="192">
        <v>8421</v>
      </c>
      <c r="AB57" s="254">
        <v>8810</v>
      </c>
      <c r="AC57" s="192">
        <v>5346</v>
      </c>
      <c r="AD57" s="192">
        <v>8023</v>
      </c>
      <c r="AE57" s="192">
        <v>8211</v>
      </c>
      <c r="AF57" s="254">
        <v>8033</v>
      </c>
      <c r="AG57" s="192">
        <v>8024</v>
      </c>
      <c r="AH57" s="192">
        <v>8035</v>
      </c>
      <c r="AI57" s="255">
        <v>8092.1</v>
      </c>
      <c r="AJ57" s="192">
        <v>6561</v>
      </c>
      <c r="AK57" s="255">
        <v>6746.6</v>
      </c>
      <c r="AL57" s="192">
        <v>6667</v>
      </c>
      <c r="AM57" s="255">
        <v>6761.2</v>
      </c>
      <c r="AN57" s="192">
        <v>6649</v>
      </c>
      <c r="AO57" s="255">
        <v>6948.4</v>
      </c>
      <c r="AP57" s="192">
        <v>6670</v>
      </c>
      <c r="AQ57" s="255">
        <v>6730.8</v>
      </c>
      <c r="AR57" s="192">
        <v>5473.9</v>
      </c>
      <c r="AS57" s="255">
        <v>5510.7</v>
      </c>
      <c r="AT57" s="192">
        <v>5508</v>
      </c>
      <c r="AU57" s="255">
        <v>5489.8</v>
      </c>
      <c r="AV57" s="192">
        <v>5642</v>
      </c>
      <c r="AW57" s="192">
        <v>5554</v>
      </c>
      <c r="AX57" s="252">
        <v>7719.7</v>
      </c>
      <c r="AY57" s="192">
        <v>8766</v>
      </c>
      <c r="AZ57" s="192">
        <v>6290.1</v>
      </c>
      <c r="BA57" s="192">
        <v>7591.9</v>
      </c>
      <c r="BB57" s="192">
        <v>8785</v>
      </c>
      <c r="BC57" s="192">
        <v>7221</v>
      </c>
      <c r="BD57" s="192">
        <v>6048</v>
      </c>
      <c r="BE57" s="192">
        <v>8271</v>
      </c>
      <c r="BF57" s="192">
        <v>8951</v>
      </c>
      <c r="BG57" s="192">
        <v>9128</v>
      </c>
      <c r="BH57" s="192">
        <v>5718</v>
      </c>
      <c r="BI57" s="192">
        <v>7381</v>
      </c>
      <c r="BJ57" s="192">
        <v>5907</v>
      </c>
      <c r="BK57" s="192">
        <v>4066</v>
      </c>
      <c r="BL57" s="192">
        <v>5620</v>
      </c>
      <c r="BM57" s="192">
        <v>5701</v>
      </c>
      <c r="BN57" s="192">
        <v>6186</v>
      </c>
      <c r="BO57" s="192">
        <v>5833</v>
      </c>
      <c r="BP57" s="192">
        <v>6544</v>
      </c>
      <c r="BQ57" s="192">
        <v>6030</v>
      </c>
      <c r="BR57" s="192">
        <v>6766</v>
      </c>
      <c r="BS57" s="192">
        <v>6283</v>
      </c>
      <c r="BT57" s="192">
        <v>2833</v>
      </c>
      <c r="BU57" s="192">
        <v>2783</v>
      </c>
      <c r="BV57" s="192"/>
      <c r="BW57" s="192"/>
      <c r="BX57" s="192"/>
      <c r="BY57" s="192"/>
      <c r="BZ57" s="192">
        <v>938</v>
      </c>
      <c r="CA57" s="192">
        <v>792</v>
      </c>
      <c r="CB57" s="192">
        <v>3737</v>
      </c>
      <c r="CC57" s="192">
        <v>6227</v>
      </c>
      <c r="CD57" s="250">
        <v>4.3989248499999967</v>
      </c>
      <c r="CE57" s="250">
        <v>4.1909388166666703</v>
      </c>
      <c r="CF57" s="250">
        <v>4.5108744166666659</v>
      </c>
      <c r="CG57" s="250">
        <v>4.3077341666666644</v>
      </c>
      <c r="CH57" s="250">
        <v>0.46899571666666728</v>
      </c>
      <c r="CI57" s="250">
        <v>0.63854070000000007</v>
      </c>
      <c r="CJ57" s="250">
        <v>0.77583010000000019</v>
      </c>
      <c r="CK57" s="250">
        <v>0.71385623333333215</v>
      </c>
      <c r="CL57" s="250">
        <v>30.674038772213258</v>
      </c>
      <c r="CM57" s="250">
        <v>31.291742971887526</v>
      </c>
      <c r="CN57" s="250">
        <v>42.669014539580004</v>
      </c>
      <c r="CO57" s="250">
        <v>41.29328674698796</v>
      </c>
      <c r="CP57" s="250">
        <v>64.413271405492694</v>
      </c>
      <c r="CQ57" s="250">
        <v>61.493726907630538</v>
      </c>
      <c r="CR57" s="250">
        <v>0</v>
      </c>
      <c r="CS57" s="250">
        <v>0</v>
      </c>
      <c r="CT57" s="250">
        <v>0.89436591276251975</v>
      </c>
      <c r="CU57" s="250">
        <v>0.99593734939759204</v>
      </c>
      <c r="CV57" s="250">
        <v>2.4239999999999999</v>
      </c>
      <c r="CW57" s="250">
        <v>2.3730000000000002</v>
      </c>
      <c r="CX57" s="193">
        <f>IFERROR(AVERAGEIF(RD[[#This Row],[IS1POA1 (KWh/m2)]:[IS7POA2 (KWh/m2)]],"&lt;&gt;0",RD[[#This Row],[IS1POA1 (KWh/m2)]:[IS7POA2 (KWh/m2)]]),"")</f>
        <v>4.2949318333333331</v>
      </c>
      <c r="CY57" s="193">
        <f>IFERROR(AVERAGEIF(RD[[#This Row],[IS1GHI1 (KWh/m2)]:[IS7GHI2 (KWh/m2)]],"&lt;&gt;0",RD[[#This Row],[IS1GHI1 (KWh/m2)]:[IS7GHI2 (KWh/m2)]]),"")</f>
        <v>4.4093042916666647</v>
      </c>
      <c r="CZ57" s="193">
        <f>IFERROR(AVERAGEIF(RD[[#This Row],[IS1POA_BS1 (KWh/m2)]:[IS7POA_BS2 (KWh/m2)]],"&lt;&gt;0",RD[[#This Row],[IS1POA_BS1 (KWh/m2)]:[IS7POA_BS2 (KWh/m2)]]),"")</f>
        <v>0.55376820833333373</v>
      </c>
      <c r="DA57" s="193">
        <f>IFERROR(AVERAGEIF(RD[[#This Row],[IS1GHI_BS1 (KWh/m2)]:[IS1GHI_BS1 (KWh/m2)2]],"&lt;&gt;0",RD[[#This Row],[IS1GHI_BS1 (KWh/m2)]:[IS1GHI_BS1 (KWh/m2)2]]),"")</f>
        <v>0.74484316666666617</v>
      </c>
      <c r="DB57" s="193">
        <f>IFERROR(AVERAGEIF(RD[[#This Row],[IS1AT1 (°C)]:[IS7AT2 (°C)]],"&lt;&gt;0",RD[[#This Row],[IS1AT1 (°C)]:[IS7AT2 (°C)]]),"")</f>
        <v>30.98289087205039</v>
      </c>
      <c r="DC57" s="193">
        <f>IFERROR(AVERAGEIF(RD[[#This Row],[IS1MT1 (°C)]:[IS7MT2 (°C)]],"&lt;&gt;0",RD[[#This Row],[IS1MT1 (°C)]:[IS7MT2 (°C)]]),"")</f>
        <v>41.981150643283982</v>
      </c>
      <c r="DD57" s="193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193">
        <f>IFERROR(AVERAGEIF(RD[[#This Row],[WS_Solar1_Avg (m/s)]:[IS7_WS_Solar1_Avg (m/s)]],"&lt;&gt;0",RD[[#This Row],[WS_Solar1_Avg (m/s)]:[IS7_WS_Solar1_Avg (m/s)]]),"")</f>
        <v>0.94515163108005584</v>
      </c>
      <c r="DG57" s="193">
        <f>IFERROR(AVERAGEIF(RD[[#This Row],[WS_Solar1_Max (m/s)]:[IS7_WS_Solar1_Max (m/s)]],"&lt;&gt;0",RD[[#This Row],[WS_Solar1_Max (m/s)]:[IS7_WS_Solar1_Max (m/s)]]),"")</f>
        <v>2.3985000000000003</v>
      </c>
      <c r="DH57" s="193">
        <f>SUM(RD[[#This Row],[IS1Inv1M1]:[IS4Inv4M2]])</f>
        <v>192338.5</v>
      </c>
      <c r="DI57" s="194">
        <f>SUM(RD[[#This Row],[IS7Inv1M1]]+RD[[#This Row],[IS7Inv2M1]])</f>
        <v>10984.599999999999</v>
      </c>
      <c r="DJ57" s="193">
        <f>SUM(RD[[#This Row],[IS5Inv1M1]:[IS5Inv2M2]])</f>
        <v>26735.8</v>
      </c>
      <c r="DK57" s="193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75">
        <f>SUM(RD[[#This Row],[IS12Inv1M1]:[IS12Inv1M4]])</f>
        <v>24593</v>
      </c>
      <c r="DO57" s="275">
        <f>SUM(RD[[#This Row],[IS13Inv1M1]:[IS13Inv2M2]])</f>
        <v>18665</v>
      </c>
      <c r="DP57" s="193">
        <f>SUM(RD[[#This Row],[O2R15]:[O2R26]])</f>
        <v>447367.60000000003</v>
      </c>
      <c r="DQ57" s="158">
        <v>40544.800000000003</v>
      </c>
      <c r="DR57" s="162">
        <v>211.9</v>
      </c>
      <c r="DS57" s="158">
        <v>35123.300000000003</v>
      </c>
      <c r="DT57" s="158">
        <v>224.1</v>
      </c>
      <c r="DU57" s="162">
        <v>40898.800000000003</v>
      </c>
      <c r="DV57" s="162">
        <v>401.9</v>
      </c>
      <c r="DW57" s="158">
        <v>8830.7000000000007</v>
      </c>
      <c r="DX57" s="162">
        <v>40.799999999999997</v>
      </c>
      <c r="DY57" s="162"/>
      <c r="DZ57" s="162"/>
      <c r="EA57" s="134">
        <v>95.66</v>
      </c>
      <c r="EB57" s="230">
        <v>128731250</v>
      </c>
      <c r="EC57" s="229">
        <v>938203.52</v>
      </c>
      <c r="ED57" s="230">
        <v>1126</v>
      </c>
      <c r="EE57" s="230">
        <v>123018</v>
      </c>
      <c r="EF57" s="158">
        <v>178523.4</v>
      </c>
      <c r="EG57" s="158">
        <v>1837.7</v>
      </c>
      <c r="EH57" s="140">
        <f>IF((RD[[#This Row],[33 kV_F3_Ex
Incomer1]]-DQ56)*1000&lt;0,0,(RD[[#This Row],[33 kV_F3_Ex
Incomer1]]-DQ56)*1000)</f>
        <v>96000</v>
      </c>
      <c r="EI57" s="140">
        <f>IF((RD[[#This Row],[34 kV_F3_Im
Incomer1]]-DR56)*1000&lt;0,0,(RD[[#This Row],[34 kV_F3_Im
Incomer1]]-DR56)*1000)</f>
        <v>200.00000000001705</v>
      </c>
      <c r="EJ57" s="140">
        <f>IF((RD[[#This Row],[33 kV_F4_Ex
Incomer2]]-DS56)*1000&lt;0,0,(RD[[#This Row],[33 kV_F4_Ex
Incomer2]]-DS56)*1000)</f>
        <v>94500</v>
      </c>
      <c r="EK57" s="140">
        <f>IF((RD[[#This Row],[34 kV_F4_Im
Incomer2]]-DT56)*1000&lt;0,0,(RD[[#This Row],[34 kV_F4_Im
Incomer2]]-DT56)*1000)</f>
        <v>400.00000000000568</v>
      </c>
      <c r="EL57" s="140">
        <f>IF((RD[[#This Row],[33 kV_F5_Ex
Incomer3]]-DU56)*1000&lt;0,0,(RD[[#This Row],[33 kV_F5_Ex
Incomer3]]-DU56)*1000)</f>
        <v>116400.00000000146</v>
      </c>
      <c r="EM57" s="140">
        <f>IF((RD[[#This Row],[34 kV_F5_Im
Incomer3]]-DV56)*1000&lt;0,0,(RD[[#This Row],[34 kV_F5_Im
Incomer3]]-DV56)*1000)</f>
        <v>599.99999999996589</v>
      </c>
      <c r="EN57" s="140">
        <f>IF((RD[[#This Row],[33 kV_F6_Ex
Incomer4]]-DW56)*1000&lt;0,0,(RD[[#This Row],[33 kV_F6_Ex
Incomer4]]-DW56)*1000)</f>
        <v>135800.00000000111</v>
      </c>
      <c r="EO57" s="140">
        <f t="shared" si="163"/>
        <v>299.99999999998295</v>
      </c>
      <c r="EP57" s="140">
        <f>IF((RD[[#This Row],[33 kV_F7_Ex
Incomer5]]-DY56)*1000&lt;0,0,(RD[[#This Row],[33 kV_F7_Ex
Incomer5]]-DY56)*1000)</f>
        <v>0</v>
      </c>
      <c r="EQ57" s="140">
        <f>IF((RD[[#This Row],[33 kV_F7_Im
Incomer5]]-DZ56)*1000&lt;0,0,(RD[[#This Row],[33 kV_F7_Im
Incomer5]]-DZ56)*1000)</f>
        <v>0</v>
      </c>
      <c r="ER57" s="140">
        <f>IF((RD[[#This Row],[33 kV_Aux Trafo]]-EA56)*1000&lt;0,0,(RD[[#This Row],[33 kV_Aux Trafo]]-EA56)*1000)</f>
        <v>269.99999999999602</v>
      </c>
      <c r="ES57" s="152">
        <f>IF((RD[[#This Row],[33kV_OG1_Ex_]]-EB56)*1&lt;0,0,(RD[[#This Row],[33kV_OG1_Ex_]]-EB56)*1)</f>
        <v>442638</v>
      </c>
      <c r="ET57" s="140">
        <f>IF((RD[[#This Row],[33kV_OG1_Im]]-EC56)*1&lt;0,0,(RD[[#This Row],[33kV_OG1_Im]]-EC56)*1)</f>
        <v>2546.4320000000298</v>
      </c>
      <c r="EU57" s="140">
        <f>IF((RD[[#This Row],[132kV_TX1_EX]]-ED56)*720&lt;=0,"",(RD[[#This Row],[132kV_TX1_EX]]-ED56)*720)</f>
        <v>2160</v>
      </c>
      <c r="EV57" s="140">
        <f>IF((RD[[#This Row],[132 kV_Tx1_Im]]-EE56)*720&lt;=0,0,(RD[[#This Row],[132 kV_Tx1_Im]]-EE56)*720)</f>
        <v>331920</v>
      </c>
      <c r="EW57" s="140">
        <f>IF((RD[[#This Row],[132kV_L1_Ex]]-EF56)*720&lt;=0,0,(RD[[#This Row],[132kV_L1_Ex]]-EF56)*720)</f>
        <v>441287.99999999581</v>
      </c>
      <c r="EX57" s="140">
        <f>IF((RD[[#This Row],[132kV_L1_Im]]-EG56)*720&lt;=0,0,(RD[[#This Row],[132kV_L1_Im]]-EG56)*720)</f>
        <v>3168.0000000000655</v>
      </c>
      <c r="EY57" s="231">
        <f>IFERROR(RD[[#This Row],[33kV_OG1_Ex (MWh)]]+RD[[#This Row],[33kV_OG1_Im (MWh)]],"")</f>
        <v>445184.43200000003</v>
      </c>
      <c r="EZ57" s="142">
        <f>RD[[#This Row],[33kV_OG1_Ex (MWh)]]-RD[[#This Row],[33kV_OG1_Im (MWh)]]</f>
        <v>440091.56799999997</v>
      </c>
      <c r="FA57" s="142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32">
        <v>12.9</v>
      </c>
      <c r="FD57" s="233">
        <v>118</v>
      </c>
      <c r="FE57" s="287" t="s">
        <v>287</v>
      </c>
      <c r="FG57" s="138" t="str">
        <f>IFERROR(RD[[#This Row],[E_AC (WPR)]]/RD[[#This Row],[E_DC (WPR)]],"")</f>
        <v/>
      </c>
    </row>
    <row r="58" spans="1:163">
      <c r="A58" s="130">
        <f t="shared" si="161"/>
        <v>45798</v>
      </c>
      <c r="B58" s="132">
        <f>YEAR(RD[[#This Row],[Date]])+IF(MONTH(RD[[#This Row],[Date]])&gt;=4,1,0)</f>
        <v>2026</v>
      </c>
      <c r="C58" s="132">
        <f>YEAR(RD[[#This Row],[Date]])</f>
        <v>2025</v>
      </c>
      <c r="D58" s="133">
        <f t="shared" si="162"/>
        <v>45778</v>
      </c>
      <c r="E58" s="132">
        <f>DAY(EOMONTH(RD[[#This Row],[Date]],0))</f>
        <v>31</v>
      </c>
      <c r="F58" s="146">
        <v>0.26944444444444443</v>
      </c>
      <c r="G58" s="156">
        <v>0.77638888888888891</v>
      </c>
      <c r="H58" s="121">
        <v>6946.4</v>
      </c>
      <c r="I58" s="253">
        <v>6888</v>
      </c>
      <c r="J58" s="121">
        <v>6465</v>
      </c>
      <c r="K58" s="121">
        <v>6485</v>
      </c>
      <c r="L58" s="121">
        <v>6627</v>
      </c>
      <c r="M58" s="121">
        <v>6858</v>
      </c>
      <c r="N58" s="121">
        <v>6690.5</v>
      </c>
      <c r="O58" s="121">
        <v>7374</v>
      </c>
      <c r="P58" s="121">
        <v>6846</v>
      </c>
      <c r="Q58" s="121">
        <v>6602</v>
      </c>
      <c r="R58" s="121">
        <v>6855.5</v>
      </c>
      <c r="S58" s="254">
        <v>6807</v>
      </c>
      <c r="T58" s="121">
        <v>7219.5</v>
      </c>
      <c r="U58" s="121">
        <v>6906</v>
      </c>
      <c r="V58" s="121">
        <v>7070</v>
      </c>
      <c r="W58" s="121">
        <v>6767</v>
      </c>
      <c r="X58" s="254">
        <v>9367</v>
      </c>
      <c r="Y58" s="192">
        <v>10448</v>
      </c>
      <c r="Z58" s="192">
        <v>9167.9</v>
      </c>
      <c r="AA58" s="192">
        <v>9607</v>
      </c>
      <c r="AB58" s="254">
        <v>10270</v>
      </c>
      <c r="AC58" s="192">
        <v>6347</v>
      </c>
      <c r="AD58" s="192">
        <v>9467</v>
      </c>
      <c r="AE58" s="192">
        <v>9646</v>
      </c>
      <c r="AF58" s="254">
        <v>9455</v>
      </c>
      <c r="AG58" s="192">
        <v>9371</v>
      </c>
      <c r="AH58" s="192">
        <v>9417</v>
      </c>
      <c r="AI58" s="255">
        <v>9456</v>
      </c>
      <c r="AJ58" s="192">
        <v>7526</v>
      </c>
      <c r="AK58" s="255">
        <v>7755</v>
      </c>
      <c r="AL58" s="192">
        <v>7653.3</v>
      </c>
      <c r="AM58" s="255">
        <v>7724</v>
      </c>
      <c r="AN58" s="192">
        <v>7609.7</v>
      </c>
      <c r="AO58" s="255">
        <v>7910</v>
      </c>
      <c r="AP58" s="192">
        <v>7717.9</v>
      </c>
      <c r="AQ58" s="255">
        <v>7665</v>
      </c>
      <c r="AR58" s="192">
        <v>6239.3</v>
      </c>
      <c r="AS58" s="255">
        <v>6289</v>
      </c>
      <c r="AT58" s="192">
        <v>6320.5</v>
      </c>
      <c r="AU58" s="255">
        <v>6285</v>
      </c>
      <c r="AV58" s="192">
        <v>6434</v>
      </c>
      <c r="AW58" s="192">
        <v>6343</v>
      </c>
      <c r="AX58" s="192">
        <v>8743.7999999999993</v>
      </c>
      <c r="AY58" s="192">
        <v>9831.6</v>
      </c>
      <c r="AZ58" s="192">
        <v>7162.1</v>
      </c>
      <c r="BA58" s="192">
        <v>8753.2999999999993</v>
      </c>
      <c r="BB58" s="192">
        <v>8421</v>
      </c>
      <c r="BC58" s="192">
        <v>7018</v>
      </c>
      <c r="BD58" s="192">
        <v>5937</v>
      </c>
      <c r="BE58" s="192">
        <v>8008</v>
      </c>
      <c r="BF58" s="192">
        <v>6223</v>
      </c>
      <c r="BG58" s="192">
        <v>2624</v>
      </c>
      <c r="BH58" s="192">
        <v>620</v>
      </c>
      <c r="BI58" s="192">
        <v>639</v>
      </c>
      <c r="BJ58" s="192">
        <v>6158</v>
      </c>
      <c r="BK58" s="192">
        <v>4238</v>
      </c>
      <c r="BL58" s="192">
        <v>5848</v>
      </c>
      <c r="BM58" s="192">
        <v>5914</v>
      </c>
      <c r="BN58" s="192">
        <v>6011</v>
      </c>
      <c r="BO58" s="192">
        <v>5705</v>
      </c>
      <c r="BP58" s="192">
        <v>6244</v>
      </c>
      <c r="BQ58" s="192">
        <v>5729</v>
      </c>
      <c r="BR58" s="192">
        <v>7333</v>
      </c>
      <c r="BS58" s="192">
        <v>7140</v>
      </c>
      <c r="BT58" s="192">
        <v>2818</v>
      </c>
      <c r="BU58" s="192">
        <v>3789</v>
      </c>
      <c r="BV58" s="192"/>
      <c r="BW58" s="192"/>
      <c r="BX58" s="192"/>
      <c r="BY58" s="192"/>
      <c r="BZ58" s="192">
        <v>1042</v>
      </c>
      <c r="CA58" s="192">
        <v>884</v>
      </c>
      <c r="CB58" s="192">
        <v>4096</v>
      </c>
      <c r="CC58" s="192">
        <v>6739</v>
      </c>
      <c r="CD58" s="250">
        <v>5.0558328999999933</v>
      </c>
      <c r="CE58" s="250">
        <v>4.8206496499999956</v>
      </c>
      <c r="CF58" s="250">
        <v>5.1805274666666694</v>
      </c>
      <c r="CG58" s="250">
        <v>4.9573712166666706</v>
      </c>
      <c r="CH58" s="250">
        <v>0.45500605000000022</v>
      </c>
      <c r="CI58" s="250">
        <v>0.62999689999999919</v>
      </c>
      <c r="CJ58" s="250">
        <v>0.78328044999999913</v>
      </c>
      <c r="CK58" s="250">
        <v>0.71006774999999933</v>
      </c>
      <c r="CL58" s="250">
        <v>29.055737704918016</v>
      </c>
      <c r="CM58" s="250">
        <v>28.449202279202311</v>
      </c>
      <c r="CN58" s="250">
        <v>41.55019244476123</v>
      </c>
      <c r="CO58" s="250">
        <v>39.116309116809177</v>
      </c>
      <c r="CP58" s="250">
        <v>73.722223806129676</v>
      </c>
      <c r="CQ58" s="250">
        <v>75.040142450142497</v>
      </c>
      <c r="CR58" s="250">
        <v>0.46136849607982899</v>
      </c>
      <c r="CS58" s="250">
        <v>0.46427350427350439</v>
      </c>
      <c r="CT58" s="250">
        <v>1.0673328581610821</v>
      </c>
      <c r="CU58" s="250">
        <v>1.088485042735043</v>
      </c>
      <c r="CV58" s="250">
        <v>5.2530000000000001</v>
      </c>
      <c r="CW58" s="250">
        <v>6.0659999999999998</v>
      </c>
      <c r="CX58" s="193">
        <f>IFERROR(AVERAGEIF(RD[[#This Row],[IS1POA1 (KWh/m2)]:[IS7POA2 (KWh/m2)]],"&lt;&gt;0",RD[[#This Row],[IS1POA1 (KWh/m2)]:[IS7POA2 (KWh/m2)]]),"")</f>
        <v>4.938241274999994</v>
      </c>
      <c r="CY58" s="193">
        <f>IFERROR(AVERAGEIF(RD[[#This Row],[IS1GHI1 (KWh/m2)]:[IS7GHI2 (KWh/m2)]],"&lt;&gt;0",RD[[#This Row],[IS1GHI1 (KWh/m2)]:[IS7GHI2 (KWh/m2)]]),"")</f>
        <v>5.06894934166667</v>
      </c>
      <c r="CZ58" s="193">
        <f>IFERROR(AVERAGEIF(RD[[#This Row],[IS1POA_BS1 (KWh/m2)]:[IS7POA_BS2 (KWh/m2)]],"&lt;&gt;0",RD[[#This Row],[IS1POA_BS1 (KWh/m2)]:[IS7POA_BS2 (KWh/m2)]]),"")</f>
        <v>0.54250147499999968</v>
      </c>
      <c r="DA58" s="193">
        <f>IFERROR(AVERAGEIF(RD[[#This Row],[IS1GHI_BS1 (KWh/m2)]:[IS1GHI_BS1 (KWh/m2)2]],"&lt;&gt;0",RD[[#This Row],[IS1GHI_BS1 (KWh/m2)]:[IS1GHI_BS1 (KWh/m2)2]]),"")</f>
        <v>0.74667409999999923</v>
      </c>
      <c r="DB58" s="193">
        <f>IFERROR(AVERAGEIF(RD[[#This Row],[IS1AT1 (°C)]:[IS7AT2 (°C)]],"&lt;&gt;0",RD[[#This Row],[IS1AT1 (°C)]:[IS7AT2 (°C)]]),"")</f>
        <v>28.752469992060163</v>
      </c>
      <c r="DC58" s="193">
        <f>IFERROR(AVERAGEIF(RD[[#This Row],[IS1MT1 (°C)]:[IS7MT2 (°C)]],"&lt;&gt;0",RD[[#This Row],[IS1MT1 (°C)]:[IS7MT2 (°C)]]),"")</f>
        <v>40.333250780785207</v>
      </c>
      <c r="DD58" s="193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193">
        <f>IFERROR(AVERAGEIF(RD[[#This Row],[WS_Solar1_Avg (m/s)]:[IS7_WS_Solar1_Avg (m/s)]],"&lt;&gt;0",RD[[#This Row],[WS_Solar1_Avg (m/s)]:[IS7_WS_Solar1_Avg (m/s)]]),"")</f>
        <v>1.0779089504480626</v>
      </c>
      <c r="DG58" s="193">
        <f>IFERROR(AVERAGEIF(RD[[#This Row],[WS_Solar1_Max (m/s)]:[IS7_WS_Solar1_Max (m/s)]],"&lt;&gt;0",RD[[#This Row],[WS_Solar1_Max (m/s)]:[IS7_WS_Solar1_Max (m/s)]]),"")</f>
        <v>5.6594999999999995</v>
      </c>
      <c r="DH58" s="193">
        <f>SUM(RD[[#This Row],[IS1Inv1M1]:[IS4Inv4M2]])</f>
        <v>221425.8</v>
      </c>
      <c r="DI58" s="194">
        <f>SUM(RD[[#This Row],[IS7Inv1M1]]+RD[[#This Row],[IS7Inv2M1]])</f>
        <v>12528.3</v>
      </c>
      <c r="DJ58" s="193">
        <f>SUM(RD[[#This Row],[IS5Inv1M1]:[IS5Inv2M2]])</f>
        <v>30658.3</v>
      </c>
      <c r="DK58" s="193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75">
        <f>SUM(RD[[#This Row],[IS12Inv1M1]:[IS12Inv1M4]])</f>
        <v>23689</v>
      </c>
      <c r="DO58" s="275">
        <f>SUM(RD[[#This Row],[IS13Inv1M1]:[IS13Inv2M2]])</f>
        <v>21080</v>
      </c>
      <c r="DP58" s="193">
        <f>SUM(RD[[#This Row],[O2R15]:[O2R26]])</f>
        <v>474566.29999999993</v>
      </c>
      <c r="DQ58" s="158">
        <v>40656.199999999997</v>
      </c>
      <c r="DR58" s="162">
        <v>212.2</v>
      </c>
      <c r="DS58" s="158">
        <v>35229.800000000003</v>
      </c>
      <c r="DT58" s="158">
        <v>224.4</v>
      </c>
      <c r="DU58" s="162">
        <v>41031.300000000003</v>
      </c>
      <c r="DV58" s="162">
        <v>402.4</v>
      </c>
      <c r="DW58" s="158">
        <v>8949</v>
      </c>
      <c r="DX58" s="162">
        <v>41</v>
      </c>
      <c r="DY58" s="162"/>
      <c r="DZ58" s="162"/>
      <c r="EA58" s="134">
        <v>95.91</v>
      </c>
      <c r="EB58" s="230">
        <v>129200668</v>
      </c>
      <c r="EC58" s="229">
        <v>939613.63199999998</v>
      </c>
      <c r="ED58" s="230">
        <v>1128</v>
      </c>
      <c r="EE58" s="230">
        <v>123486</v>
      </c>
      <c r="EF58" s="158">
        <v>179173.3</v>
      </c>
      <c r="EG58" s="158">
        <v>1840.3</v>
      </c>
      <c r="EH58" s="140">
        <f>IF((RD[[#This Row],[33 kV_F3_Ex
Incomer1]]-DQ57)*1000&lt;0,0,(RD[[#This Row],[33 kV_F3_Ex
Incomer1]]-DQ57)*1000)</f>
        <v>111399.99999999418</v>
      </c>
      <c r="EI58" s="140">
        <f>IF((RD[[#This Row],[34 kV_F3_Im
Incomer1]]-DR57)*1000&lt;0,0,(RD[[#This Row],[34 kV_F3_Im
Incomer1]]-DR57)*1000)</f>
        <v>299.99999999998295</v>
      </c>
      <c r="EJ58" s="140">
        <f>IF((RD[[#This Row],[33 kV_F4_Ex
Incomer2]]-DS57)*1000&lt;0,0,(RD[[#This Row],[33 kV_F4_Ex
Incomer2]]-DS57)*1000)</f>
        <v>106500</v>
      </c>
      <c r="EK58" s="140">
        <f>IF((RD[[#This Row],[34 kV_F4_Im
Incomer2]]-DT57)*1000&lt;0,0,(RD[[#This Row],[34 kV_F4_Im
Incomer2]]-DT57)*1000)</f>
        <v>300.00000000001137</v>
      </c>
      <c r="EL58" s="140">
        <f>IF((RD[[#This Row],[33 kV_F5_Ex
Incomer3]]-DU57)*1000&lt;0,0,(RD[[#This Row],[33 kV_F5_Ex
Incomer3]]-DU57)*1000)</f>
        <v>132500</v>
      </c>
      <c r="EM58" s="140">
        <f>IF((RD[[#This Row],[34 kV_F5_Im
Incomer3]]-DV57)*1000&lt;0,0,(RD[[#This Row],[34 kV_F5_Im
Incomer3]]-DV57)*1000)</f>
        <v>500</v>
      </c>
      <c r="EN58" s="140">
        <f>IF((RD[[#This Row],[33 kV_F6_Ex
Incomer4]]-DW57)*1000&lt;0,0,(RD[[#This Row],[33 kV_F6_Ex
Incomer4]]-DW57)*1000)</f>
        <v>118299.99999999927</v>
      </c>
      <c r="EO58" s="140">
        <f t="shared" si="163"/>
        <v>200.00000000001705</v>
      </c>
      <c r="EP58" s="140">
        <f>IF((RD[[#This Row],[33 kV_F7_Ex
Incomer5]]-DY57)*1000&lt;0,0,(RD[[#This Row],[33 kV_F7_Ex
Incomer5]]-DY57)*1000)</f>
        <v>0</v>
      </c>
      <c r="EQ58" s="140">
        <f>IF((RD[[#This Row],[33 kV_F7_Im
Incomer5]]-DZ57)*1000&lt;0,0,(RD[[#This Row],[33 kV_F7_Im
Incomer5]]-DZ57)*1000)</f>
        <v>0</v>
      </c>
      <c r="ER58" s="140">
        <f>IF((RD[[#This Row],[33 kV_Aux Trafo]]-EA57)*1000&lt;0,0,(RD[[#This Row],[33 kV_Aux Trafo]]-EA57)*1000)</f>
        <v>250</v>
      </c>
      <c r="ES58" s="152">
        <f>IF((RD[[#This Row],[33kV_OG1_Ex_]]-EB57)*1&lt;0,0,(RD[[#This Row],[33kV_OG1_Ex_]]-EB57)*1)</f>
        <v>469418</v>
      </c>
      <c r="ET58" s="140">
        <f>IF((RD[[#This Row],[33kV_OG1_Im]]-EC57)*1&lt;0,0,(RD[[#This Row],[33kV_OG1_Im]]-EC57)*1)</f>
        <v>1410.1119999999646</v>
      </c>
      <c r="EU58" s="140">
        <f>IF((RD[[#This Row],[132kV_TX1_EX]]-ED57)*720&lt;=0,"",(RD[[#This Row],[132kV_TX1_EX]]-ED57)*720)</f>
        <v>1440</v>
      </c>
      <c r="EV58" s="140">
        <f>IF((RD[[#This Row],[132 kV_Tx1_Im]]-EE57)*720&lt;=0,0,(RD[[#This Row],[132 kV_Tx1_Im]]-EE57)*720)</f>
        <v>336960</v>
      </c>
      <c r="EW58" s="140">
        <f>IF((RD[[#This Row],[132kV_L1_Ex]]-EF57)*720&lt;=0,0,(RD[[#This Row],[132kV_L1_Ex]]-EF57)*720)</f>
        <v>467927.99999999581</v>
      </c>
      <c r="EX58" s="140">
        <f>IF((RD[[#This Row],[132kV_L1_Im]]-EG57)*720&lt;=0,0,(RD[[#This Row],[132kV_L1_Im]]-EG57)*720)</f>
        <v>1871.9999999999345</v>
      </c>
      <c r="EY58" s="231">
        <f>IFERROR(RD[[#This Row],[33kV_OG1_Ex (MWh)]]+RD[[#This Row],[33kV_OG1_Im (MWh)]],"")</f>
        <v>470828.11199999996</v>
      </c>
      <c r="EZ58" s="142">
        <f>RD[[#This Row],[33kV_OG1_Ex (MWh)]]-RD[[#This Row],[33kV_OG1_Im (MWh)]]</f>
        <v>468007.88800000004</v>
      </c>
      <c r="FA58" s="142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32">
        <v>12.9</v>
      </c>
      <c r="FD58" s="233">
        <v>118</v>
      </c>
      <c r="FE58" t="s">
        <v>288</v>
      </c>
      <c r="FG58" s="138" t="str">
        <f>IFERROR(RD[[#This Row],[E_AC (WPR)]]/RD[[#This Row],[E_DC (WPR)]],"")</f>
        <v/>
      </c>
    </row>
    <row r="59" spans="1:163">
      <c r="A59" s="130">
        <f t="shared" si="161"/>
        <v>45799</v>
      </c>
      <c r="B59" s="132">
        <f>YEAR(RD[[#This Row],[Date]])+IF(MONTH(RD[[#This Row],[Date]])&gt;=4,1,0)</f>
        <v>2026</v>
      </c>
      <c r="C59" s="132">
        <f>YEAR(RD[[#This Row],[Date]])</f>
        <v>2025</v>
      </c>
      <c r="D59" s="133">
        <f t="shared" si="162"/>
        <v>45778</v>
      </c>
      <c r="E59" s="132">
        <f>DAY(EOMONTH(RD[[#This Row],[Date]],0))</f>
        <v>31</v>
      </c>
      <c r="F59" s="146">
        <v>0.25069444444444444</v>
      </c>
      <c r="G59" s="156">
        <v>0.7729166666666667</v>
      </c>
      <c r="H59" s="121">
        <v>8211</v>
      </c>
      <c r="I59" s="253">
        <v>8101</v>
      </c>
      <c r="J59" s="121">
        <v>7671</v>
      </c>
      <c r="K59" s="121">
        <v>7721.6</v>
      </c>
      <c r="L59" s="121">
        <v>7904</v>
      </c>
      <c r="M59" s="121">
        <v>8138.8</v>
      </c>
      <c r="N59" s="121">
        <v>7974</v>
      </c>
      <c r="O59" s="121">
        <v>8550.5</v>
      </c>
      <c r="P59" s="121">
        <v>7873</v>
      </c>
      <c r="Q59" s="121">
        <v>7673.3</v>
      </c>
      <c r="R59" s="121">
        <v>7942</v>
      </c>
      <c r="S59" s="255">
        <v>7904.7</v>
      </c>
      <c r="T59" s="121">
        <v>8210</v>
      </c>
      <c r="U59" s="121">
        <v>7809</v>
      </c>
      <c r="V59" s="121">
        <v>8070</v>
      </c>
      <c r="W59" s="121">
        <v>7706</v>
      </c>
      <c r="X59" s="255">
        <v>10990.7</v>
      </c>
      <c r="Y59" s="192">
        <v>12010</v>
      </c>
      <c r="Z59" s="192">
        <v>10820</v>
      </c>
      <c r="AA59" s="192">
        <v>11203</v>
      </c>
      <c r="AB59" s="254">
        <v>11734</v>
      </c>
      <c r="AC59" s="192">
        <v>7583</v>
      </c>
      <c r="AD59" s="192">
        <v>11123</v>
      </c>
      <c r="AE59" s="192">
        <v>11333</v>
      </c>
      <c r="AF59" s="254">
        <v>11092</v>
      </c>
      <c r="AG59" s="192">
        <v>11053</v>
      </c>
      <c r="AH59" s="192">
        <v>11033</v>
      </c>
      <c r="AI59" s="255">
        <v>11121</v>
      </c>
      <c r="AJ59" s="192">
        <v>9706</v>
      </c>
      <c r="AK59" s="255">
        <v>9926</v>
      </c>
      <c r="AL59" s="192">
        <v>9756</v>
      </c>
      <c r="AM59" s="255">
        <v>9816</v>
      </c>
      <c r="AN59" s="192">
        <v>9773</v>
      </c>
      <c r="AO59" s="255">
        <v>10068</v>
      </c>
      <c r="AP59" s="192">
        <v>9952</v>
      </c>
      <c r="AQ59" s="255">
        <v>9830</v>
      </c>
      <c r="AR59" s="192">
        <v>7901</v>
      </c>
      <c r="AS59" s="255">
        <v>7938</v>
      </c>
      <c r="AT59" s="192">
        <v>7922</v>
      </c>
      <c r="AU59" s="255">
        <v>7761</v>
      </c>
      <c r="AV59" s="192">
        <v>8053</v>
      </c>
      <c r="AW59" s="192">
        <v>7966</v>
      </c>
      <c r="AX59" s="192">
        <v>11186</v>
      </c>
      <c r="AY59" s="256">
        <v>12239</v>
      </c>
      <c r="AZ59" s="192">
        <v>9228</v>
      </c>
      <c r="BA59" s="192">
        <v>10984</v>
      </c>
      <c r="BB59" s="192">
        <v>10839.8</v>
      </c>
      <c r="BC59" s="192">
        <v>9077</v>
      </c>
      <c r="BD59" s="192">
        <v>7689.2</v>
      </c>
      <c r="BE59" s="192">
        <v>10303.299999999999</v>
      </c>
      <c r="BF59" s="192">
        <v>6010</v>
      </c>
      <c r="BG59" s="192">
        <v>2150</v>
      </c>
      <c r="BH59" s="192">
        <v>0</v>
      </c>
      <c r="BI59" s="192">
        <v>0</v>
      </c>
      <c r="BJ59" s="192">
        <v>7346.8</v>
      </c>
      <c r="BK59" s="192">
        <v>5094.8999999999996</v>
      </c>
      <c r="BL59" s="192">
        <v>7064.6</v>
      </c>
      <c r="BM59" s="192">
        <v>7123</v>
      </c>
      <c r="BN59" s="192">
        <v>7102.9</v>
      </c>
      <c r="BO59" s="192">
        <v>6856.1</v>
      </c>
      <c r="BP59" s="192">
        <v>7368</v>
      </c>
      <c r="BQ59" s="192">
        <v>6451.3</v>
      </c>
      <c r="BR59" s="192">
        <v>8404.7000000000007</v>
      </c>
      <c r="BS59" s="192">
        <v>8163.5</v>
      </c>
      <c r="BT59" s="192">
        <v>3170.1</v>
      </c>
      <c r="BU59" s="192">
        <v>4736.7</v>
      </c>
      <c r="BV59" s="192"/>
      <c r="BW59" s="192"/>
      <c r="BX59" s="192"/>
      <c r="BY59" s="192"/>
      <c r="BZ59" s="192">
        <v>1190.0999999999999</v>
      </c>
      <c r="CA59" s="192">
        <v>1009.9</v>
      </c>
      <c r="CB59" s="192">
        <v>4631.8999999999996</v>
      </c>
      <c r="CC59" s="192">
        <v>7673.8</v>
      </c>
      <c r="CD59" s="250">
        <v>6.1690388833333376</v>
      </c>
      <c r="CE59" s="250">
        <v>6.3150799666666639</v>
      </c>
      <c r="CF59" s="250">
        <v>6.3302380833333425</v>
      </c>
      <c r="CG59" s="250">
        <v>6.4155086666666676</v>
      </c>
      <c r="CH59" s="250">
        <v>0.59561863333333298</v>
      </c>
      <c r="CI59" s="250">
        <v>0.73452880000000031</v>
      </c>
      <c r="CJ59" s="250">
        <v>0.88316408333333474</v>
      </c>
      <c r="CK59" s="250">
        <v>0.86256856666666637</v>
      </c>
      <c r="CL59" s="250">
        <v>28.135695897023407</v>
      </c>
      <c r="CM59" s="250">
        <v>27.319591549295684</v>
      </c>
      <c r="CN59" s="250">
        <v>42.177766693483562</v>
      </c>
      <c r="CO59" s="250">
        <v>39.299413380281692</v>
      </c>
      <c r="CP59" s="250">
        <v>79.75199517296862</v>
      </c>
      <c r="CQ59" s="250">
        <v>80.006535211267447</v>
      </c>
      <c r="CR59" s="250">
        <v>0.15502815768302475</v>
      </c>
      <c r="CS59" s="250">
        <v>0.13183098591549275</v>
      </c>
      <c r="CT59" s="250">
        <v>0.91345293644408632</v>
      </c>
      <c r="CU59" s="250">
        <v>0.91712323943661866</v>
      </c>
      <c r="CV59" s="250">
        <v>3.4140000000000001</v>
      </c>
      <c r="CW59" s="250">
        <v>3.5790000000000002</v>
      </c>
      <c r="CX59" s="193">
        <f>IFERROR(AVERAGEIF(RD[[#This Row],[IS1POA1 (KWh/m2)]:[IS7POA2 (KWh/m2)]],"&lt;&gt;0",RD[[#This Row],[IS1POA1 (KWh/m2)]:[IS7POA2 (KWh/m2)]]),"")</f>
        <v>6.2420594250000008</v>
      </c>
      <c r="CY59" s="193">
        <f>IFERROR(AVERAGEIF(RD[[#This Row],[IS1GHI1 (KWh/m2)]:[IS7GHI2 (KWh/m2)]],"&lt;&gt;0",RD[[#This Row],[IS1GHI1 (KWh/m2)]:[IS7GHI2 (KWh/m2)]]),"")</f>
        <v>6.3728733750000046</v>
      </c>
      <c r="CZ59" s="193">
        <f>IFERROR(AVERAGEIF(RD[[#This Row],[IS1POA_BS1 (KWh/m2)]:[IS7POA_BS2 (KWh/m2)]],"&lt;&gt;0",RD[[#This Row],[IS1POA_BS1 (KWh/m2)]:[IS7POA_BS2 (KWh/m2)]]),"")</f>
        <v>0.6650737166666667</v>
      </c>
      <c r="DA59" s="193">
        <f>IFERROR(AVERAGEIF(RD[[#This Row],[IS1GHI_BS1 (KWh/m2)]:[IS1GHI_BS1 (KWh/m2)2]],"&lt;&gt;0",RD[[#This Row],[IS1GHI_BS1 (KWh/m2)]:[IS1GHI_BS1 (KWh/m2)2]]),"")</f>
        <v>0.87286632500000061</v>
      </c>
      <c r="DB59" s="193">
        <f>IFERROR(AVERAGEIF(RD[[#This Row],[IS1AT1 (°C)]:[IS7AT2 (°C)]],"&lt;&gt;0",RD[[#This Row],[IS1AT1 (°C)]:[IS7AT2 (°C)]]),"")</f>
        <v>27.727643723159545</v>
      </c>
      <c r="DC59" s="193">
        <f>IFERROR(AVERAGEIF(RD[[#This Row],[IS1MT1 (°C)]:[IS7MT2 (°C)]],"&lt;&gt;0",RD[[#This Row],[IS1MT1 (°C)]:[IS7MT2 (°C)]]),"")</f>
        <v>40.738590036882627</v>
      </c>
      <c r="DD59" s="193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193">
        <f>IFERROR(AVERAGEIF(RD[[#This Row],[WS_Solar1_Avg (m/s)]:[IS7_WS_Solar1_Avg (m/s)]],"&lt;&gt;0",RD[[#This Row],[WS_Solar1_Avg (m/s)]:[IS7_WS_Solar1_Avg (m/s)]]),"")</f>
        <v>0.91528808794035244</v>
      </c>
      <c r="DG59" s="193">
        <f>IFERROR(AVERAGEIF(RD[[#This Row],[WS_Solar1_Max (m/s)]:[IS7_WS_Solar1_Max (m/s)]],"&lt;&gt;0",RD[[#This Row],[WS_Solar1_Max (m/s)]:[IS7_WS_Solar1_Max (m/s)]]),"")</f>
        <v>3.4965000000000002</v>
      </c>
      <c r="DH59" s="193">
        <f>SUM(RD[[#This Row],[IS1Inv1M1]:[IS4Inv4M2]])</f>
        <v>258555.6</v>
      </c>
      <c r="DI59" s="194">
        <f>SUM(RD[[#This Row],[IS7Inv1M1]]+RD[[#This Row],[IS7Inv2M1]])</f>
        <v>15839</v>
      </c>
      <c r="DJ59" s="193">
        <f>SUM(RD[[#This Row],[IS5Inv1M1]:[IS5Inv2M2]])</f>
        <v>39204</v>
      </c>
      <c r="DK59" s="193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75">
        <f>SUM(RD[[#This Row],[IS12Inv1M1]:[IS12Inv1M4]])</f>
        <v>27778.3</v>
      </c>
      <c r="DO59" s="275">
        <f>SUM(RD[[#This Row],[IS13Inv1M1]:[IS13Inv2M2]])</f>
        <v>24475</v>
      </c>
      <c r="DP59" s="193">
        <f>SUM(RD[[#This Row],[O2R15]:[O2R26]])</f>
        <v>568018.19999999995</v>
      </c>
      <c r="DQ59" s="158">
        <v>40786.400000000001</v>
      </c>
      <c r="DR59" s="162">
        <v>212.6</v>
      </c>
      <c r="DS59" s="158">
        <v>35353.4</v>
      </c>
      <c r="DT59" s="158">
        <v>224.7</v>
      </c>
      <c r="DU59" s="162">
        <v>41198.9</v>
      </c>
      <c r="DV59" s="162">
        <v>403</v>
      </c>
      <c r="DW59" s="158">
        <v>9091.4</v>
      </c>
      <c r="DX59" s="162">
        <v>41.2</v>
      </c>
      <c r="DY59" s="162"/>
      <c r="DZ59" s="162"/>
      <c r="EA59" s="134">
        <v>96.18</v>
      </c>
      <c r="EB59" s="230">
        <v>129765965</v>
      </c>
      <c r="EC59" s="229">
        <v>941221.88800000004</v>
      </c>
      <c r="ED59" s="230">
        <v>1130</v>
      </c>
      <c r="EE59" s="230">
        <v>124049</v>
      </c>
      <c r="EF59" s="158">
        <v>179955.9</v>
      </c>
      <c r="EG59" s="158">
        <v>1843.2</v>
      </c>
      <c r="EH59" s="140">
        <f>IF((RD[[#This Row],[33 kV_F3_Ex
Incomer1]]-DQ58)*1000&lt;0,0,(RD[[#This Row],[33 kV_F3_Ex
Incomer1]]-DQ58)*1000)</f>
        <v>130200.00000000437</v>
      </c>
      <c r="EI59" s="140">
        <f>IF((RD[[#This Row],[34 kV_F3_Im
Incomer1]]-DR58)*1000&lt;0,0,(RD[[#This Row],[34 kV_F3_Im
Incomer1]]-DR58)*1000)</f>
        <v>400.00000000000568</v>
      </c>
      <c r="EJ59" s="140">
        <f>IF((RD[[#This Row],[33 kV_F4_Ex
Incomer2]]-DS58)*1000&lt;0,0,(RD[[#This Row],[33 kV_F4_Ex
Incomer2]]-DS58)*1000)</f>
        <v>123599.99999999854</v>
      </c>
      <c r="EK59" s="140">
        <f>IF((RD[[#This Row],[34 kV_F4_Im
Incomer2]]-DT58)*1000&lt;0,0,(RD[[#This Row],[34 kV_F4_Im
Incomer2]]-DT58)*1000)</f>
        <v>299.99999999998295</v>
      </c>
      <c r="EL59" s="140">
        <f>IF((RD[[#This Row],[33 kV_F5_Ex
Incomer3]]-DU58)*1000&lt;0,0,(RD[[#This Row],[33 kV_F5_Ex
Incomer3]]-DU58)*1000)</f>
        <v>167599.99999999854</v>
      </c>
      <c r="EM59" s="140">
        <f>IF((RD[[#This Row],[34 kV_F5_Im
Incomer3]]-DV58)*1000&lt;0,0,(RD[[#This Row],[34 kV_F5_Im
Incomer3]]-DV58)*1000)</f>
        <v>600.00000000002274</v>
      </c>
      <c r="EN59" s="140">
        <f>IF((RD[[#This Row],[33 kV_F6_Ex
Incomer4]]-DW58)*1000&lt;0,0,(RD[[#This Row],[33 kV_F6_Ex
Incomer4]]-DW58)*1000)</f>
        <v>142399.99999999965</v>
      </c>
      <c r="EO59" s="140">
        <f t="shared" si="163"/>
        <v>399.99999999997726</v>
      </c>
      <c r="EP59" s="140">
        <f>IF((RD[[#This Row],[33 kV_F7_Ex
Incomer5]]-DY58)*1000&lt;0,0,(RD[[#This Row],[33 kV_F7_Ex
Incomer5]]-DY58)*1000)</f>
        <v>0</v>
      </c>
      <c r="EQ59" s="140">
        <f>IF((RD[[#This Row],[33 kV_F7_Im
Incomer5]]-DZ58)*1000&lt;0,0,(RD[[#This Row],[33 kV_F7_Im
Incomer5]]-DZ58)*1000)</f>
        <v>0</v>
      </c>
      <c r="ER59" s="140">
        <f>IF((RD[[#This Row],[33 kV_Aux Trafo]]-EA58)*1000&lt;0,0,(RD[[#This Row],[33 kV_Aux Trafo]]-EA58)*1000)</f>
        <v>270.00000000001023</v>
      </c>
      <c r="ES59" s="152">
        <f>IF((RD[[#This Row],[33kV_OG1_Ex_]]-EB58)*1&lt;0,0,(RD[[#This Row],[33kV_OG1_Ex_]]-EB58)*1)</f>
        <v>565297</v>
      </c>
      <c r="ET59" s="140">
        <f>IF((RD[[#This Row],[33kV_OG1_Im]]-EC58)*1&lt;0,0,(RD[[#This Row],[33kV_OG1_Im]]-EC58)*1)</f>
        <v>1608.2560000000522</v>
      </c>
      <c r="EU59" s="140">
        <f>IF((RD[[#This Row],[132kV_TX1_EX]]-ED58)*720&lt;=0,"",(RD[[#This Row],[132kV_TX1_EX]]-ED58)*720)</f>
        <v>1440</v>
      </c>
      <c r="EV59" s="140">
        <f>IF((RD[[#This Row],[132 kV_Tx1_Im]]-EE58)*720&lt;=0,0,(RD[[#This Row],[132 kV_Tx1_Im]]-EE58)*720)</f>
        <v>405360</v>
      </c>
      <c r="EW59" s="140">
        <f>IF((RD[[#This Row],[132kV_L1_Ex]]-EF58)*720&lt;=0,0,(RD[[#This Row],[132kV_L1_Ex]]-EF58)*720)</f>
        <v>563472.00000000419</v>
      </c>
      <c r="EX59" s="140">
        <f>IF((RD[[#This Row],[132kV_L1_Im]]-EG58)*720&lt;=0,0,(RD[[#This Row],[132kV_L1_Im]]-EG58)*720)</f>
        <v>2088.0000000000655</v>
      </c>
      <c r="EY59" s="231">
        <f>IFERROR(RD[[#This Row],[33kV_OG1_Ex (MWh)]]+RD[[#This Row],[33kV_OG1_Im (MWh)]],"")</f>
        <v>566905.25600000005</v>
      </c>
      <c r="EZ59" s="142">
        <f>RD[[#This Row],[33kV_OG1_Ex (MWh)]]-RD[[#This Row],[33kV_OG1_Im (MWh)]]</f>
        <v>563688.74399999995</v>
      </c>
      <c r="FA59" s="142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32">
        <f>IFERROR((RD[[#This Row],[Sunset Time (POA&lt;20 W/m2)]]-RD[[#This Row],[Sunrise Time (POA&gt;20 W/m2)]])*24,0)</f>
        <v>12.533333333333335</v>
      </c>
      <c r="FD59" s="233">
        <v>118</v>
      </c>
      <c r="FE59" t="s">
        <v>289</v>
      </c>
      <c r="FG59" s="138" t="str">
        <f>IFERROR(RD[[#This Row],[E_AC (WPR)]]/RD[[#This Row],[E_DC (WPR)]],"")</f>
        <v/>
      </c>
    </row>
    <row r="60" spans="1:163">
      <c r="A60" s="130">
        <f t="shared" si="161"/>
        <v>45800</v>
      </c>
      <c r="B60" s="132">
        <f>YEAR(RD[[#This Row],[Date]])+IF(MONTH(RD[[#This Row],[Date]])&gt;=4,1,0)</f>
        <v>2026</v>
      </c>
      <c r="C60" s="132">
        <f>YEAR(RD[[#This Row],[Date]])</f>
        <v>2025</v>
      </c>
      <c r="D60" s="133">
        <f t="shared" si="162"/>
        <v>45778</v>
      </c>
      <c r="E60" s="132">
        <f>DAY(EOMONTH(RD[[#This Row],[Date]],0))</f>
        <v>31</v>
      </c>
      <c r="F60" s="146">
        <v>0.27430555555555558</v>
      </c>
      <c r="G60" s="156">
        <v>0.74722222222222223</v>
      </c>
      <c r="H60" s="121">
        <v>3698</v>
      </c>
      <c r="I60" s="253">
        <v>3662</v>
      </c>
      <c r="J60" s="121">
        <v>3425</v>
      </c>
      <c r="K60" s="121">
        <v>3482</v>
      </c>
      <c r="L60" s="121">
        <v>3599</v>
      </c>
      <c r="M60" s="121">
        <v>3692</v>
      </c>
      <c r="N60" s="121">
        <v>3572</v>
      </c>
      <c r="O60" s="121">
        <v>3962</v>
      </c>
      <c r="P60" s="121">
        <v>3690</v>
      </c>
      <c r="Q60" s="121">
        <v>3605</v>
      </c>
      <c r="R60" s="121">
        <v>3788</v>
      </c>
      <c r="S60" s="255">
        <v>3775</v>
      </c>
      <c r="T60" s="121">
        <v>3909</v>
      </c>
      <c r="U60" s="121">
        <v>3877</v>
      </c>
      <c r="V60" s="121">
        <v>3841</v>
      </c>
      <c r="W60" s="121">
        <v>3612.7</v>
      </c>
      <c r="X60" s="255">
        <v>5211.8</v>
      </c>
      <c r="Y60" s="192">
        <v>5991.3</v>
      </c>
      <c r="Z60" s="192">
        <v>4971</v>
      </c>
      <c r="AA60" s="192">
        <v>5206.5</v>
      </c>
      <c r="AB60" s="255">
        <v>6011.3</v>
      </c>
      <c r="AC60" s="192">
        <v>3711</v>
      </c>
      <c r="AD60" s="192">
        <v>5555</v>
      </c>
      <c r="AE60" s="192">
        <v>5675</v>
      </c>
      <c r="AF60" s="255">
        <v>5490.5</v>
      </c>
      <c r="AG60" s="192">
        <v>5436.5</v>
      </c>
      <c r="AH60" s="192">
        <v>5471</v>
      </c>
      <c r="AI60" s="255">
        <v>5523</v>
      </c>
      <c r="AJ60" s="192">
        <v>4689</v>
      </c>
      <c r="AK60" s="255">
        <v>4791</v>
      </c>
      <c r="AL60" s="192">
        <v>4690</v>
      </c>
      <c r="AM60" s="255">
        <v>4742.1000000000004</v>
      </c>
      <c r="AN60" s="192">
        <v>4691</v>
      </c>
      <c r="AO60" s="255">
        <v>4866</v>
      </c>
      <c r="AP60" s="192">
        <v>4778</v>
      </c>
      <c r="AQ60" s="255">
        <v>4733</v>
      </c>
      <c r="AR60" s="192">
        <v>3790</v>
      </c>
      <c r="AS60" s="255">
        <v>3820</v>
      </c>
      <c r="AT60" s="192">
        <v>3815</v>
      </c>
      <c r="AU60" s="255">
        <v>3663</v>
      </c>
      <c r="AV60" s="192">
        <v>3898</v>
      </c>
      <c r="AW60" s="192">
        <v>3847</v>
      </c>
      <c r="AX60" s="192">
        <v>5452.5</v>
      </c>
      <c r="AY60" s="192">
        <v>6159.3</v>
      </c>
      <c r="AZ60" s="192">
        <v>4422</v>
      </c>
      <c r="BA60" s="192">
        <v>5390</v>
      </c>
      <c r="BB60" s="192">
        <v>5123</v>
      </c>
      <c r="BC60" s="192">
        <v>4278</v>
      </c>
      <c r="BD60" s="192">
        <v>3611</v>
      </c>
      <c r="BE60" s="192">
        <v>4833</v>
      </c>
      <c r="BF60" s="192">
        <v>5850</v>
      </c>
      <c r="BG60" s="192">
        <v>2090</v>
      </c>
      <c r="BH60" s="192">
        <v>0</v>
      </c>
      <c r="BI60" s="192">
        <v>0</v>
      </c>
      <c r="BJ60" s="192">
        <v>3431</v>
      </c>
      <c r="BK60" s="192">
        <v>2321</v>
      </c>
      <c r="BL60" s="192">
        <v>3290</v>
      </c>
      <c r="BM60" s="192">
        <v>3255</v>
      </c>
      <c r="BN60" s="192">
        <v>3589</v>
      </c>
      <c r="BO60" s="192">
        <v>3402</v>
      </c>
      <c r="BP60" s="192">
        <v>3756</v>
      </c>
      <c r="BQ60" s="192">
        <v>3285</v>
      </c>
      <c r="BR60" s="192">
        <v>8405</v>
      </c>
      <c r="BS60" s="192">
        <v>8164</v>
      </c>
      <c r="BT60" s="192">
        <v>1756</v>
      </c>
      <c r="BU60" s="192">
        <v>2936</v>
      </c>
      <c r="BV60" s="192"/>
      <c r="BW60" s="192"/>
      <c r="BX60" s="192"/>
      <c r="BY60" s="192"/>
      <c r="BZ60" s="192">
        <v>484</v>
      </c>
      <c r="CA60" s="192">
        <v>401</v>
      </c>
      <c r="CB60" s="192">
        <v>2086</v>
      </c>
      <c r="CC60" s="192">
        <v>3529</v>
      </c>
      <c r="CD60" s="250">
        <v>2.5162932999999974</v>
      </c>
      <c r="CE60" s="250">
        <v>2.768553383333336</v>
      </c>
      <c r="CF60" s="250">
        <v>2.5669880166666639</v>
      </c>
      <c r="CG60" s="250">
        <v>2.8246211500000022</v>
      </c>
      <c r="CH60" s="250">
        <v>0.26283025000000004</v>
      </c>
      <c r="CI60" s="250">
        <v>0.32832750000000055</v>
      </c>
      <c r="CJ60" s="250">
        <v>0.36693244999999974</v>
      </c>
      <c r="CK60" s="250">
        <v>0.37569235000000001</v>
      </c>
      <c r="CL60" s="250">
        <v>28.353896604938356</v>
      </c>
      <c r="CM60" s="250">
        <v>28.093466872110884</v>
      </c>
      <c r="CN60" s="250">
        <v>38.075337191358059</v>
      </c>
      <c r="CO60" s="250">
        <v>36.421890600924456</v>
      </c>
      <c r="CP60" s="250">
        <v>80.236417438271801</v>
      </c>
      <c r="CQ60" s="250">
        <v>81.469250385208014</v>
      </c>
      <c r="CR60" s="250">
        <v>0</v>
      </c>
      <c r="CS60" s="250">
        <v>0</v>
      </c>
      <c r="CT60" s="250">
        <v>0.68925540123456808</v>
      </c>
      <c r="CU60" s="250">
        <v>0.7137704160246533</v>
      </c>
      <c r="CV60" s="250">
        <v>2.0489999999999999</v>
      </c>
      <c r="CW60" s="250">
        <v>2.016</v>
      </c>
      <c r="CX60" s="193">
        <f>IFERROR(AVERAGEIF(RD[[#This Row],[IS1POA1 (KWh/m2)]:[IS7POA2 (KWh/m2)]],"&lt;&gt;0",RD[[#This Row],[IS1POA1 (KWh/m2)]:[IS7POA2 (KWh/m2)]]),"")</f>
        <v>2.6424233416666665</v>
      </c>
      <c r="CY60" s="193">
        <f>IFERROR(AVERAGEIF(RD[[#This Row],[IS1GHI1 (KWh/m2)]:[IS7GHI2 (KWh/m2)]],"&lt;&gt;0",RD[[#This Row],[IS1GHI1 (KWh/m2)]:[IS7GHI2 (KWh/m2)]]),"")</f>
        <v>2.6958045833333331</v>
      </c>
      <c r="CZ60" s="193">
        <f>IFERROR(AVERAGEIF(RD[[#This Row],[IS1POA_BS1 (KWh/m2)]:[IS7POA_BS2 (KWh/m2)]],"&lt;&gt;0",RD[[#This Row],[IS1POA_BS1 (KWh/m2)]:[IS7POA_BS2 (KWh/m2)]]),"")</f>
        <v>0.2955788750000003</v>
      </c>
      <c r="DA60" s="193">
        <f>IFERROR(AVERAGEIF(RD[[#This Row],[IS1GHI_BS1 (KWh/m2)]:[IS1GHI_BS1 (KWh/m2)2]],"&lt;&gt;0",RD[[#This Row],[IS1GHI_BS1 (KWh/m2)]:[IS1GHI_BS1 (KWh/m2)2]]),"")</f>
        <v>0.37131239999999988</v>
      </c>
      <c r="DB60" s="193">
        <f>IFERROR(AVERAGEIF(RD[[#This Row],[IS1AT1 (°C)]:[IS7AT2 (°C)]],"&lt;&gt;0",RD[[#This Row],[IS1AT1 (°C)]:[IS7AT2 (°C)]]),"")</f>
        <v>28.223681738524618</v>
      </c>
      <c r="DC60" s="193">
        <f>IFERROR(AVERAGEIF(RD[[#This Row],[IS1MT1 (°C)]:[IS7MT2 (°C)]],"&lt;&gt;0",RD[[#This Row],[IS1MT1 (°C)]:[IS7MT2 (°C)]]),"")</f>
        <v>37.248613896141258</v>
      </c>
      <c r="DD60" s="193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193">
        <f>IFERROR(AVERAGEIF(RD[[#This Row],[WS_Solar1_Avg (m/s)]:[IS7_WS_Solar1_Avg (m/s)]],"&lt;&gt;0",RD[[#This Row],[WS_Solar1_Avg (m/s)]:[IS7_WS_Solar1_Avg (m/s)]]),"")</f>
        <v>0.70151290862961069</v>
      </c>
      <c r="DG60" s="193">
        <f>IFERROR(AVERAGEIF(RD[[#This Row],[WS_Solar1_Max (m/s)]:[IS7_WS_Solar1_Max (m/s)]],"&lt;&gt;0",RD[[#This Row],[WS_Solar1_Max (m/s)]:[IS7_WS_Solar1_Max (m/s)]]),"")</f>
        <v>2.0324999999999998</v>
      </c>
      <c r="DH60" s="193">
        <f>SUM(RD[[#This Row],[IS1Inv1M1]:[IS4Inv4M2]])</f>
        <v>123443.6</v>
      </c>
      <c r="DI60" s="194">
        <f>SUM(RD[[#This Row],[IS7Inv1M1]]+RD[[#This Row],[IS7Inv2M1]])</f>
        <v>7610</v>
      </c>
      <c r="DJ60" s="193">
        <f>SUM(RD[[#This Row],[IS5Inv1M1]:[IS5Inv2M2]])</f>
        <v>18912.099999999999</v>
      </c>
      <c r="DK60" s="193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75">
        <f>SUM(RD[[#This Row],[IS12Inv1M1]:[IS12Inv1M4]])</f>
        <v>14032</v>
      </c>
      <c r="DO60" s="275">
        <f>SUM(RD[[#This Row],[IS13Inv1M1]:[IS13Inv2M2]])</f>
        <v>21261</v>
      </c>
      <c r="DP60" s="193">
        <f>SUM(RD[[#This Row],[O2R15]:[O2R26]])</f>
        <v>285555.5</v>
      </c>
      <c r="DQ60" s="158">
        <v>40850.300000000003</v>
      </c>
      <c r="DR60" s="162">
        <v>212.9</v>
      </c>
      <c r="DS60" s="158">
        <v>35411.800000000003</v>
      </c>
      <c r="DT60" s="158">
        <v>225.1</v>
      </c>
      <c r="DU60" s="162">
        <v>41280.800000000003</v>
      </c>
      <c r="DV60" s="162">
        <v>403.6</v>
      </c>
      <c r="DW60" s="158">
        <v>9160.6</v>
      </c>
      <c r="DX60" s="162">
        <v>42.3</v>
      </c>
      <c r="DY60" s="162"/>
      <c r="DZ60" s="162"/>
      <c r="EA60" s="134">
        <v>96.43</v>
      </c>
      <c r="EB60" s="230">
        <v>130040127</v>
      </c>
      <c r="EC60" s="229">
        <v>943945.34400000004</v>
      </c>
      <c r="ED60" s="230">
        <v>1133</v>
      </c>
      <c r="EE60" s="230">
        <v>124322</v>
      </c>
      <c r="EF60" s="158">
        <v>180335.4</v>
      </c>
      <c r="EG60" s="158">
        <v>1847.8</v>
      </c>
      <c r="EH60" s="140">
        <f>IF((RD[[#This Row],[33 kV_F3_Ex
Incomer1]]-DQ59)*1000&lt;0,0,(RD[[#This Row],[33 kV_F3_Ex
Incomer1]]-DQ59)*1000)</f>
        <v>63900.000000001455</v>
      </c>
      <c r="EI60" s="140">
        <f>IF((RD[[#This Row],[34 kV_F3_Im
Incomer1]]-DR59)*1000&lt;0,0,(RD[[#This Row],[34 kV_F3_Im
Incomer1]]-DR59)*1000)</f>
        <v>300.00000000001137</v>
      </c>
      <c r="EJ60" s="140">
        <f>IF((RD[[#This Row],[33 kV_F4_Ex
Incomer2]]-DS59)*1000&lt;0,0,(RD[[#This Row],[33 kV_F4_Ex
Incomer2]]-DS59)*1000)</f>
        <v>58400.000000001455</v>
      </c>
      <c r="EK60" s="140">
        <f>IF((RD[[#This Row],[34 kV_F4_Im
Incomer2]]-DT59)*1000&lt;0,0,(RD[[#This Row],[34 kV_F4_Im
Incomer2]]-DT59)*1000)</f>
        <v>400.00000000000568</v>
      </c>
      <c r="EL60" s="140">
        <f>IF((RD[[#This Row],[33 kV_F5_Ex
Incomer3]]-DU59)*1000&lt;0,0,(RD[[#This Row],[33 kV_F5_Ex
Incomer3]]-DU59)*1000)</f>
        <v>81900.000000001455</v>
      </c>
      <c r="EM60" s="140">
        <f>IF((RD[[#This Row],[34 kV_F5_Im
Incomer3]]-DV59)*1000&lt;0,0,(RD[[#This Row],[34 kV_F5_Im
Incomer3]]-DV59)*1000)</f>
        <v>600.00000000002274</v>
      </c>
      <c r="EN60" s="140">
        <f>IF((RD[[#This Row],[33 kV_F6_Ex
Incomer4]]-DW59)*1000&lt;0,0,(RD[[#This Row],[33 kV_F6_Ex
Incomer4]]-DW59)*1000)</f>
        <v>69200.000000000728</v>
      </c>
      <c r="EO60" s="140">
        <f t="shared" si="163"/>
        <v>400.00000000000568</v>
      </c>
      <c r="EP60" s="140">
        <f>IF((RD[[#This Row],[33 kV_F7_Ex
Incomer5]]-DY59)*1000&lt;0,0,(RD[[#This Row],[33 kV_F7_Ex
Incomer5]]-DY59)*1000)</f>
        <v>0</v>
      </c>
      <c r="EQ60" s="140">
        <f>IF((RD[[#This Row],[33 kV_F7_Im
Incomer5]]-DZ59)*1000&lt;0,0,(RD[[#This Row],[33 kV_F7_Im
Incomer5]]-DZ59)*1000)</f>
        <v>0</v>
      </c>
      <c r="ER60" s="140">
        <f>IF((RD[[#This Row],[33 kV_Aux Trafo]]-EA59)*1000&lt;0,0,(RD[[#This Row],[33 kV_Aux Trafo]]-EA59)*1000)</f>
        <v>250</v>
      </c>
      <c r="ES60" s="152">
        <f>IF((RD[[#This Row],[33kV_OG1_Ex_]]-EB59)*1&lt;0,0,(RD[[#This Row],[33kV_OG1_Ex_]]-EB59)*1)</f>
        <v>274162</v>
      </c>
      <c r="ET60" s="140">
        <f>IF((RD[[#This Row],[33kV_OG1_Im]]-EC59)*1&lt;0,0,(RD[[#This Row],[33kV_OG1_Im]]-EC59)*1)</f>
        <v>2723.4560000000056</v>
      </c>
      <c r="EU60" s="140">
        <f>IF((RD[[#This Row],[132kV_TX1_EX]]-ED59)*720&lt;=0,"",(RD[[#This Row],[132kV_TX1_EX]]-ED59)*720)</f>
        <v>2160</v>
      </c>
      <c r="EV60" s="140">
        <f>IF((RD[[#This Row],[132 kV_Tx1_Im]]-EE59)*720&lt;=0,0,(RD[[#This Row],[132 kV_Tx1_Im]]-EE59)*720)</f>
        <v>196560</v>
      </c>
      <c r="EW60" s="140">
        <f>IF((RD[[#This Row],[132kV_L1_Ex]]-EF59)*720&lt;=0,0,(RD[[#This Row],[132kV_L1_Ex]]-EF59)*720)</f>
        <v>273240</v>
      </c>
      <c r="EX60" s="140">
        <f>IF((RD[[#This Row],[132kV_L1_Im]]-EG59)*720&lt;=0,0,(RD[[#This Row],[132kV_L1_Im]]-EG59)*720)</f>
        <v>3311.9999999999345</v>
      </c>
      <c r="EY60" s="231">
        <f>IFERROR(RD[[#This Row],[33kV_OG1_Ex (MWh)]]+RD[[#This Row],[33kV_OG1_Im (MWh)]],"")</f>
        <v>276885.45600000001</v>
      </c>
      <c r="EZ60" s="142">
        <f>RD[[#This Row],[33kV_OG1_Ex (MWh)]]-RD[[#This Row],[33kV_OG1_Im (MWh)]]</f>
        <v>271438.54399999999</v>
      </c>
      <c r="FA60" s="142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32">
        <f>IFERROR((RD[[#This Row],[Sunset Time (POA&lt;20 W/m2)]]-RD[[#This Row],[Sunrise Time (POA&gt;20 W/m2)]])*24,0)</f>
        <v>11.35</v>
      </c>
      <c r="FD60" s="233">
        <v>118</v>
      </c>
      <c r="FE60" s="287" t="s">
        <v>290</v>
      </c>
      <c r="FG60" s="138" t="str">
        <f>IFERROR(RD[[#This Row],[E_AC (WPR)]]/RD[[#This Row],[E_DC (WPR)]],"")</f>
        <v/>
      </c>
    </row>
    <row r="61" spans="1:163">
      <c r="A61" s="130">
        <f>A60+1</f>
        <v>45801</v>
      </c>
      <c r="B61" s="132">
        <f>YEAR(RD[[#This Row],[Date]])+IF(MONTH(RD[[#This Row],[Date]])&gt;=4,1,0)</f>
        <v>2026</v>
      </c>
      <c r="C61" s="132">
        <f>YEAR(RD[[#This Row],[Date]])</f>
        <v>2025</v>
      </c>
      <c r="D61" s="133">
        <f t="shared" ref="D61:D68" si="164">A61-DAY(A61)+1</f>
        <v>45778</v>
      </c>
      <c r="E61" s="132">
        <f>DAY(EOMONTH(RD[[#This Row],[Date]],0))</f>
        <v>31</v>
      </c>
      <c r="F61" s="146">
        <v>0.26250000000000001</v>
      </c>
      <c r="G61" s="156">
        <v>0.76736111111111116</v>
      </c>
      <c r="H61" s="121">
        <v>5103</v>
      </c>
      <c r="I61" s="253">
        <v>5042</v>
      </c>
      <c r="J61" s="121">
        <v>4730</v>
      </c>
      <c r="K61" s="121">
        <v>4788</v>
      </c>
      <c r="L61" s="121">
        <v>4930</v>
      </c>
      <c r="M61" s="121">
        <v>5101</v>
      </c>
      <c r="N61" s="121">
        <v>4925</v>
      </c>
      <c r="O61" s="121">
        <v>5487</v>
      </c>
      <c r="P61" s="121">
        <v>5032</v>
      </c>
      <c r="Q61" s="121">
        <v>4869</v>
      </c>
      <c r="R61" s="121">
        <v>5056</v>
      </c>
      <c r="S61" s="255">
        <v>5044</v>
      </c>
      <c r="T61" s="121">
        <v>5298</v>
      </c>
      <c r="U61" s="121">
        <v>5088</v>
      </c>
      <c r="V61" s="121">
        <v>5184</v>
      </c>
      <c r="W61" s="121">
        <v>4940</v>
      </c>
      <c r="X61" s="255">
        <v>6687</v>
      </c>
      <c r="Y61" s="192">
        <v>7565</v>
      </c>
      <c r="Z61" s="192">
        <v>6537</v>
      </c>
      <c r="AA61" s="192">
        <v>6862</v>
      </c>
      <c r="AB61" s="255">
        <v>7209</v>
      </c>
      <c r="AC61" s="192">
        <v>4482</v>
      </c>
      <c r="AD61" s="192">
        <v>6760</v>
      </c>
      <c r="AE61" s="192">
        <v>6917</v>
      </c>
      <c r="AF61" s="255">
        <v>6743</v>
      </c>
      <c r="AG61" s="192">
        <v>6703</v>
      </c>
      <c r="AH61" s="192">
        <v>6721</v>
      </c>
      <c r="AI61" s="255">
        <v>6770</v>
      </c>
      <c r="AJ61" s="192">
        <v>5830</v>
      </c>
      <c r="AK61" s="255">
        <v>5994</v>
      </c>
      <c r="AL61" s="192">
        <v>5893</v>
      </c>
      <c r="AM61" s="255">
        <v>5936</v>
      </c>
      <c r="AN61" s="192">
        <v>5873</v>
      </c>
      <c r="AO61" s="255">
        <v>6107</v>
      </c>
      <c r="AP61" s="192">
        <v>5980</v>
      </c>
      <c r="AQ61" s="255">
        <v>5934</v>
      </c>
      <c r="AR61" s="192">
        <v>4776</v>
      </c>
      <c r="AS61" s="255">
        <v>4808</v>
      </c>
      <c r="AT61" s="192">
        <v>4825</v>
      </c>
      <c r="AU61" s="255">
        <v>4789</v>
      </c>
      <c r="AV61" s="192">
        <v>4908</v>
      </c>
      <c r="AW61" s="192">
        <v>4849</v>
      </c>
      <c r="AX61" s="192">
        <v>6804</v>
      </c>
      <c r="AY61" s="192">
        <v>7712</v>
      </c>
      <c r="AZ61" s="192">
        <v>5549</v>
      </c>
      <c r="BA61" s="192">
        <v>6750</v>
      </c>
      <c r="BB61" s="192">
        <v>6514</v>
      </c>
      <c r="BC61" s="192">
        <v>5455</v>
      </c>
      <c r="BD61" s="192">
        <v>4592</v>
      </c>
      <c r="BE61" s="192">
        <v>6145</v>
      </c>
      <c r="BF61" s="192">
        <v>6065</v>
      </c>
      <c r="BG61" s="192">
        <v>2145</v>
      </c>
      <c r="BH61" s="192">
        <v>0</v>
      </c>
      <c r="BI61" s="192">
        <v>0</v>
      </c>
      <c r="BJ61" s="192">
        <v>4314</v>
      </c>
      <c r="BK61" s="192">
        <v>2958</v>
      </c>
      <c r="BL61" s="192">
        <v>4068.5</v>
      </c>
      <c r="BM61" s="192">
        <v>4120</v>
      </c>
      <c r="BN61" s="192">
        <v>4578</v>
      </c>
      <c r="BO61" s="192">
        <v>4317</v>
      </c>
      <c r="BP61" s="192">
        <v>4756</v>
      </c>
      <c r="BQ61" s="192">
        <v>4361</v>
      </c>
      <c r="BR61" s="192">
        <v>4809</v>
      </c>
      <c r="BS61" s="192">
        <v>4679</v>
      </c>
      <c r="BT61" s="192">
        <v>2492</v>
      </c>
      <c r="BU61" s="192">
        <v>4032</v>
      </c>
      <c r="BV61" s="192"/>
      <c r="BW61" s="192"/>
      <c r="BX61" s="192"/>
      <c r="BY61" s="192"/>
      <c r="BZ61" s="192">
        <v>650</v>
      </c>
      <c r="CA61" s="192">
        <v>544</v>
      </c>
      <c r="CB61" s="192">
        <v>2654</v>
      </c>
      <c r="CC61" s="192">
        <v>4427</v>
      </c>
      <c r="CD61" s="250">
        <v>3.5132229000000033</v>
      </c>
      <c r="CE61" s="250">
        <v>3.5273316833333355</v>
      </c>
      <c r="CF61" s="250">
        <v>3.6204422166666643</v>
      </c>
      <c r="CG61" s="250">
        <v>3.598386683333334</v>
      </c>
      <c r="CH61" s="250">
        <v>0.33900410000000047</v>
      </c>
      <c r="CI61" s="250">
        <v>0.44682861666666696</v>
      </c>
      <c r="CJ61" s="250">
        <v>0.5334439000000003</v>
      </c>
      <c r="CK61" s="250">
        <v>0.49315721666666701</v>
      </c>
      <c r="CL61" s="250">
        <v>27.957574536663984</v>
      </c>
      <c r="CM61" s="250">
        <v>27.889734513274334</v>
      </c>
      <c r="CN61" s="250">
        <v>38.828476228847656</v>
      </c>
      <c r="CO61" s="250">
        <v>37.020672566371687</v>
      </c>
      <c r="CP61" s="250">
        <v>74.745721192586643</v>
      </c>
      <c r="CQ61" s="250">
        <v>76.646291230893027</v>
      </c>
      <c r="CR61" s="250">
        <v>0</v>
      </c>
      <c r="CS61" s="250">
        <v>0</v>
      </c>
      <c r="CT61" s="250">
        <v>0.85523448831587323</v>
      </c>
      <c r="CU61" s="250">
        <v>0.94068704746580811</v>
      </c>
      <c r="CV61" s="250">
        <v>2.2949999999999999</v>
      </c>
      <c r="CW61" s="250">
        <v>2.274</v>
      </c>
      <c r="CX61" s="193">
        <f>IFERROR(AVERAGEIF(RD[[#This Row],[IS1POA1 (KWh/m2)]:[IS7POA2 (KWh/m2)]],"&lt;&gt;0",RD[[#This Row],[IS1POA1 (KWh/m2)]:[IS7POA2 (KWh/m2)]]),"")</f>
        <v>3.5202772916666696</v>
      </c>
      <c r="CY61" s="193">
        <f>IFERROR(AVERAGEIF(RD[[#This Row],[IS1GHI1 (KWh/m2)]:[IS7GHI2 (KWh/m2)]],"&lt;&gt;0",RD[[#This Row],[IS1GHI1 (KWh/m2)]:[IS7GHI2 (KWh/m2)]]),"")</f>
        <v>3.6094144499999992</v>
      </c>
      <c r="CZ61" s="193">
        <f>IFERROR(AVERAGEIF(RD[[#This Row],[IS1POA_BS1 (KWh/m2)]:[IS7POA_BS2 (KWh/m2)]],"&lt;&gt;0",RD[[#This Row],[IS1POA_BS1 (KWh/m2)]:[IS7POA_BS2 (KWh/m2)]]),"")</f>
        <v>0.39291635833333372</v>
      </c>
      <c r="DA61" s="193">
        <f>IFERROR(AVERAGEIF(RD[[#This Row],[IS1GHI_BS1 (KWh/m2)]:[IS1GHI_BS1 (KWh/m2)2]],"&lt;&gt;0",RD[[#This Row],[IS1GHI_BS1 (KWh/m2)]:[IS1GHI_BS1 (KWh/m2)2]]),"")</f>
        <v>0.51330055833333366</v>
      </c>
      <c r="DB61" s="193">
        <f>IFERROR(AVERAGEIF(RD[[#This Row],[IS1AT1 (°C)]:[IS7AT2 (°C)]],"&lt;&gt;0",RD[[#This Row],[IS1AT1 (°C)]:[IS7AT2 (°C)]]),"")</f>
        <v>27.923654524969159</v>
      </c>
      <c r="DC61" s="193">
        <f>IFERROR(AVERAGEIF(RD[[#This Row],[IS1MT1 (°C)]:[IS7MT2 (°C)]],"&lt;&gt;0",RD[[#This Row],[IS1MT1 (°C)]:[IS7MT2 (°C)]]),"")</f>
        <v>37.924574397609675</v>
      </c>
      <c r="DD61" s="193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193">
        <f>IFERROR(AVERAGEIF(RD[[#This Row],[WS_Solar1_Avg (m/s)]:[IS7_WS_Solar1_Avg (m/s)]],"&lt;&gt;0",RD[[#This Row],[WS_Solar1_Avg (m/s)]:[IS7_WS_Solar1_Avg (m/s)]]),"")</f>
        <v>0.89796076789084067</v>
      </c>
      <c r="DG61" s="193">
        <f>IFERROR(AVERAGEIF(RD[[#This Row],[WS_Solar1_Max (m/s)]:[IS7_WS_Solar1_Max (m/s)]],"&lt;&gt;0",RD[[#This Row],[WS_Solar1_Max (m/s)]:[IS7_WS_Solar1_Max (m/s)]]),"")</f>
        <v>2.2845</v>
      </c>
      <c r="DH61" s="193">
        <f>SUM(RD[[#This Row],[IS1Inv1M1]:[IS4Inv4M2]])</f>
        <v>160573</v>
      </c>
      <c r="DI61" s="194">
        <f>SUM(RD[[#This Row],[IS7Inv1M1]]+RD[[#This Row],[IS7Inv2M1]])</f>
        <v>9584</v>
      </c>
      <c r="DJ61" s="193">
        <f>SUM(RD[[#This Row],[IS5Inv1M1]:[IS5Inv2M2]])</f>
        <v>23653</v>
      </c>
      <c r="DK61" s="193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75">
        <f>SUM(RD[[#This Row],[IS12Inv1M1]:[IS12Inv1M4]])</f>
        <v>18012</v>
      </c>
      <c r="DO61" s="275">
        <f>SUM(RD[[#This Row],[IS13Inv1M1]:[IS13Inv2M2]])</f>
        <v>16012</v>
      </c>
      <c r="DP61" s="193">
        <f>SUM(RD[[#This Row],[O2R15]:[O2R26]])</f>
        <v>352565.5</v>
      </c>
      <c r="DQ61" s="158">
        <v>40929.9</v>
      </c>
      <c r="DR61" s="162">
        <v>213.1</v>
      </c>
      <c r="DS61" s="158">
        <v>35490.6</v>
      </c>
      <c r="DT61" s="158">
        <v>225.5</v>
      </c>
      <c r="DU61" s="162">
        <v>41383.4</v>
      </c>
      <c r="DV61" s="162">
        <v>404.3</v>
      </c>
      <c r="DW61" s="158">
        <v>9248.2999999999993</v>
      </c>
      <c r="DX61" s="162">
        <v>43.5</v>
      </c>
      <c r="DY61" s="162"/>
      <c r="DZ61" s="162"/>
      <c r="EA61" s="134">
        <v>96.68</v>
      </c>
      <c r="EB61" s="230">
        <v>130389901</v>
      </c>
      <c r="EC61" s="229">
        <v>946700.28799999994</v>
      </c>
      <c r="ED61" s="230">
        <v>1137</v>
      </c>
      <c r="EE61" s="230">
        <v>124670</v>
      </c>
      <c r="EF61" s="158">
        <v>180819.7</v>
      </c>
      <c r="EG61" s="158">
        <v>1852.4</v>
      </c>
      <c r="EH61" s="140">
        <f>IF((RD[[#This Row],[33 kV_F3_Ex
Incomer1]]-DQ60)*1000&lt;0,0,(RD[[#This Row],[33 kV_F3_Ex
Incomer1]]-DQ60)*1000)</f>
        <v>79599.999999998545</v>
      </c>
      <c r="EI61" s="140">
        <f>IF((RD[[#This Row],[34 kV_F3_Im
Incomer1]]-DR60)*1000&lt;0,0,(RD[[#This Row],[34 kV_F3_Im
Incomer1]]-DR60)*1000)</f>
        <v>199.99999999998863</v>
      </c>
      <c r="EJ61" s="140">
        <f>IF((RD[[#This Row],[33 kV_F4_Ex
Incomer2]]-DS60)*1000&lt;0,0,(RD[[#This Row],[33 kV_F4_Ex
Incomer2]]-DS60)*1000)</f>
        <v>78799.999999995634</v>
      </c>
      <c r="EK61" s="140">
        <f>IF((RD[[#This Row],[34 kV_F4_Im
Incomer2]]-DT60)*1000&lt;0,0,(RD[[#This Row],[34 kV_F4_Im
Incomer2]]-DT60)*1000)</f>
        <v>400.00000000000568</v>
      </c>
      <c r="EL61" s="140">
        <f>IF((RD[[#This Row],[33 kV_F5_Ex
Incomer3]]-DU60)*1000&lt;0,0,(RD[[#This Row],[33 kV_F5_Ex
Incomer3]]-DU60)*1000)</f>
        <v>102599.99999999854</v>
      </c>
      <c r="EM61" s="140">
        <f>IF((RD[[#This Row],[34 kV_F5_Im
Incomer3]]-DV60)*1000&lt;0,0,(RD[[#This Row],[34 kV_F5_Im
Incomer3]]-DV60)*1000)</f>
        <v>699.99999999998863</v>
      </c>
      <c r="EN61" s="140">
        <f>IF((RD[[#This Row],[33 kV_F6_Ex
Incomer4]]-DW60)*1000&lt;0,0,(RD[[#This Row],[33 kV_F6_Ex
Incomer4]]-DW60)*1000)</f>
        <v>87699.999999998909</v>
      </c>
      <c r="EO61" s="140">
        <f t="shared" si="163"/>
        <v>300.00000000001137</v>
      </c>
      <c r="EP61" s="140">
        <f>IF((RD[[#This Row],[33 kV_F7_Ex
Incomer5]]-DY60)*1000&lt;0,0,(RD[[#This Row],[33 kV_F7_Ex
Incomer5]]-DY60)*1000)</f>
        <v>0</v>
      </c>
      <c r="EQ61" s="140">
        <f>IF((RD[[#This Row],[33 kV_F7_Im
Incomer5]]-DZ60)*1000&lt;0,0,(RD[[#This Row],[33 kV_F7_Im
Incomer5]]-DZ60)*1000)</f>
        <v>0</v>
      </c>
      <c r="ER61" s="140">
        <f>IF((RD[[#This Row],[33 kV_Aux Trafo]]-EA60)*1000&lt;0,0,(RD[[#This Row],[33 kV_Aux Trafo]]-EA60)*1000)</f>
        <v>250</v>
      </c>
      <c r="ES61" s="152">
        <f>IF((RD[[#This Row],[33kV_OG1_Ex_]]-EB60)*1&lt;0,0,(RD[[#This Row],[33kV_OG1_Ex_]]-EB60)*1)</f>
        <v>349774</v>
      </c>
      <c r="ET61" s="140">
        <f>IF((RD[[#This Row],[33kV_OG1_Im]]-EC60)*1&lt;0,0,(RD[[#This Row],[33kV_OG1_Im]]-EC60)*1)</f>
        <v>2754.9439999999013</v>
      </c>
      <c r="EU61" s="140">
        <f>IF((RD[[#This Row],[132kV_TX1_EX]]-ED60)*720&lt;=0,"",(RD[[#This Row],[132kV_TX1_EX]]-ED60)*720)</f>
        <v>2880</v>
      </c>
      <c r="EV61" s="140">
        <f>IF((RD[[#This Row],[132 kV_Tx1_Im]]-EE60)*720&lt;=0,0,(RD[[#This Row],[132 kV_Tx1_Im]]-EE60)*720)</f>
        <v>250560</v>
      </c>
      <c r="EW61" s="140">
        <f>IF((RD[[#This Row],[132kV_L1_Ex]]-EF60)*720&lt;=0,0,(RD[[#This Row],[132kV_L1_Ex]]-EF60)*720)</f>
        <v>348696.00000001257</v>
      </c>
      <c r="EX61" s="140">
        <f>IF((RD[[#This Row],[132kV_L1_Im]]-EG60)*720&lt;=0,0,(RD[[#This Row],[132kV_L1_Im]]-EG60)*720)</f>
        <v>3312.0000000000982</v>
      </c>
      <c r="EY61" s="231">
        <f>IFERROR(RD[[#This Row],[33kV_OG1_Ex (MWh)]]+RD[[#This Row],[33kV_OG1_Im (MWh)]],"")</f>
        <v>352528.9439999999</v>
      </c>
      <c r="EZ61" s="142">
        <f>RD[[#This Row],[33kV_OG1_Ex (MWh)]]-RD[[#This Row],[33kV_OG1_Im (MWh)]]</f>
        <v>347019.0560000001</v>
      </c>
      <c r="FA61" s="142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32">
        <f>IFERROR((RD[[#This Row],[Sunset Time (POA&lt;20 W/m2)]]-RD[[#This Row],[Sunrise Time (POA&gt;20 W/m2)]])*24,0)</f>
        <v>12.116666666666669</v>
      </c>
      <c r="FD61" s="233">
        <v>118</v>
      </c>
      <c r="FE61" s="287" t="s">
        <v>291</v>
      </c>
      <c r="FG61" s="138" t="str">
        <f>IFERROR(RD[[#This Row],[E_AC (WPR)]]/RD[[#This Row],[E_DC (WPR)]],"")</f>
        <v/>
      </c>
    </row>
    <row r="62" spans="1:163">
      <c r="A62" s="130">
        <f t="shared" si="161"/>
        <v>45802</v>
      </c>
      <c r="B62" s="132">
        <f>YEAR(RD[[#This Row],[Date]])+IF(MONTH(RD[[#This Row],[Date]])&gt;=4,1,0)</f>
        <v>2026</v>
      </c>
      <c r="C62" s="132">
        <f>YEAR(RD[[#This Row],[Date]])</f>
        <v>2025</v>
      </c>
      <c r="D62" s="133">
        <f t="shared" si="164"/>
        <v>45778</v>
      </c>
      <c r="E62" s="132">
        <f>DAY(EOMONTH(RD[[#This Row],[Date]],0))</f>
        <v>31</v>
      </c>
      <c r="F62" s="146">
        <v>0.27500000000000002</v>
      </c>
      <c r="G62" s="156">
        <v>0.76875000000000004</v>
      </c>
      <c r="H62" s="121">
        <v>2696</v>
      </c>
      <c r="I62" s="253">
        <v>2668</v>
      </c>
      <c r="J62" s="121">
        <v>2497</v>
      </c>
      <c r="K62" s="121">
        <v>2529</v>
      </c>
      <c r="L62" s="121">
        <v>2624</v>
      </c>
      <c r="M62" s="121">
        <v>2720</v>
      </c>
      <c r="N62" s="121">
        <v>2603</v>
      </c>
      <c r="O62" s="121">
        <v>2906</v>
      </c>
      <c r="P62" s="121">
        <v>2629</v>
      </c>
      <c r="Q62" s="121">
        <v>2576</v>
      </c>
      <c r="R62" s="121">
        <v>2661</v>
      </c>
      <c r="S62" s="255">
        <v>2642</v>
      </c>
      <c r="T62" s="121">
        <v>2782</v>
      </c>
      <c r="U62" s="121">
        <v>2771</v>
      </c>
      <c r="V62" s="121">
        <v>2730</v>
      </c>
      <c r="W62" s="121">
        <v>2590</v>
      </c>
      <c r="X62" s="255">
        <v>3738</v>
      </c>
      <c r="Y62" s="192">
        <v>4240</v>
      </c>
      <c r="Z62" s="192">
        <v>3634</v>
      </c>
      <c r="AA62" s="192">
        <v>3818</v>
      </c>
      <c r="AB62" s="255">
        <v>3964</v>
      </c>
      <c r="AC62" s="192">
        <v>2485</v>
      </c>
      <c r="AD62" s="192">
        <v>3756</v>
      </c>
      <c r="AE62" s="192">
        <v>3836</v>
      </c>
      <c r="AF62" s="255">
        <v>3755</v>
      </c>
      <c r="AG62" s="192">
        <v>3741</v>
      </c>
      <c r="AH62" s="192">
        <v>3725</v>
      </c>
      <c r="AI62" s="255">
        <v>3751</v>
      </c>
      <c r="AJ62" s="192">
        <v>3388</v>
      </c>
      <c r="AK62" s="255">
        <v>3469</v>
      </c>
      <c r="AL62" s="192">
        <v>3395</v>
      </c>
      <c r="AM62" s="255">
        <v>3426</v>
      </c>
      <c r="AN62" s="192">
        <v>3389</v>
      </c>
      <c r="AO62" s="255">
        <v>3494</v>
      </c>
      <c r="AP62" s="192">
        <v>3440</v>
      </c>
      <c r="AQ62" s="255">
        <v>3390</v>
      </c>
      <c r="AR62" s="192">
        <v>2625</v>
      </c>
      <c r="AS62" s="255">
        <v>2643</v>
      </c>
      <c r="AT62" s="192">
        <v>2682</v>
      </c>
      <c r="AU62" s="255">
        <v>2674</v>
      </c>
      <c r="AV62" s="192">
        <v>2729</v>
      </c>
      <c r="AW62" s="192">
        <v>2676</v>
      </c>
      <c r="AX62" s="192">
        <v>3894</v>
      </c>
      <c r="AY62" s="192">
        <v>4348.5</v>
      </c>
      <c r="AZ62" s="192">
        <v>3086</v>
      </c>
      <c r="BA62" s="192">
        <v>3722</v>
      </c>
      <c r="BB62" s="192">
        <v>3951.8</v>
      </c>
      <c r="BC62" s="192">
        <v>3347.3</v>
      </c>
      <c r="BD62" s="192">
        <v>2828</v>
      </c>
      <c r="BE62" s="192">
        <v>3757.9</v>
      </c>
      <c r="BF62" s="192">
        <v>5855</v>
      </c>
      <c r="BG62" s="192">
        <v>2030</v>
      </c>
      <c r="BH62" s="192">
        <v>0</v>
      </c>
      <c r="BI62" s="192">
        <v>0</v>
      </c>
      <c r="BJ62" s="192">
        <v>1493</v>
      </c>
      <c r="BK62" s="192">
        <v>1046</v>
      </c>
      <c r="BL62" s="192">
        <v>1417</v>
      </c>
      <c r="BM62" s="192">
        <v>1473</v>
      </c>
      <c r="BN62" s="192">
        <v>2741</v>
      </c>
      <c r="BO62" s="192">
        <v>2605</v>
      </c>
      <c r="BP62" s="192">
        <v>2858</v>
      </c>
      <c r="BQ62" s="192">
        <v>2625</v>
      </c>
      <c r="BR62" s="192">
        <v>3056</v>
      </c>
      <c r="BS62" s="192">
        <v>2988</v>
      </c>
      <c r="BT62" s="192">
        <v>1610</v>
      </c>
      <c r="BU62" s="192">
        <v>2549</v>
      </c>
      <c r="BV62" s="192"/>
      <c r="BW62" s="192"/>
      <c r="BX62" s="192"/>
      <c r="BY62" s="192"/>
      <c r="BZ62" s="192">
        <v>342</v>
      </c>
      <c r="CA62" s="192">
        <v>278</v>
      </c>
      <c r="CB62" s="192">
        <v>1599.6</v>
      </c>
      <c r="CC62" s="192">
        <v>2721</v>
      </c>
      <c r="CD62" s="250">
        <v>1.8749469999999984</v>
      </c>
      <c r="CE62" s="250">
        <v>1.9846205000000003</v>
      </c>
      <c r="CF62" s="250">
        <v>1.9224709999999987</v>
      </c>
      <c r="CG62" s="250">
        <v>1.9907261333333333</v>
      </c>
      <c r="CH62" s="250">
        <v>0.1719139833333338</v>
      </c>
      <c r="CI62" s="250">
        <v>0.21344614999999995</v>
      </c>
      <c r="CJ62" s="250">
        <v>0.25387543333333368</v>
      </c>
      <c r="CK62" s="250">
        <v>0.24135943333333357</v>
      </c>
      <c r="CL62" s="250">
        <v>27.173444976076549</v>
      </c>
      <c r="CM62" s="250">
        <v>26.188108108108096</v>
      </c>
      <c r="CN62" s="250">
        <v>34.94104146730465</v>
      </c>
      <c r="CO62" s="250">
        <v>33.144282988871218</v>
      </c>
      <c r="CP62" s="250">
        <v>91.654728867623646</v>
      </c>
      <c r="CQ62" s="250">
        <v>91.400492845786914</v>
      </c>
      <c r="CR62" s="250">
        <v>0.61244019138756312</v>
      </c>
      <c r="CS62" s="250">
        <v>0.69634340222575641</v>
      </c>
      <c r="CT62" s="250">
        <v>0.86466028708134124</v>
      </c>
      <c r="CU62" s="250">
        <v>0.80971383147853671</v>
      </c>
      <c r="CV62" s="250">
        <v>2.5230000000000001</v>
      </c>
      <c r="CW62" s="250">
        <v>2.25</v>
      </c>
      <c r="CX62" s="193">
        <f>IFERROR(AVERAGEIF(RD[[#This Row],[IS1POA1 (KWh/m2)]:[IS7POA2 (KWh/m2)]],"&lt;&gt;0",RD[[#This Row],[IS1POA1 (KWh/m2)]:[IS7POA2 (KWh/m2)]]),"")</f>
        <v>1.9297837499999995</v>
      </c>
      <c r="CY62" s="193">
        <f>IFERROR(AVERAGEIF(RD[[#This Row],[IS1GHI1 (KWh/m2)]:[IS7GHI2 (KWh/m2)]],"&lt;&gt;0",RD[[#This Row],[IS1GHI1 (KWh/m2)]:[IS7GHI2 (KWh/m2)]]),"")</f>
        <v>1.9565985666666661</v>
      </c>
      <c r="CZ62" s="193">
        <f>IFERROR(AVERAGEIF(RD[[#This Row],[IS1POA_BS1 (KWh/m2)]:[IS7POA_BS2 (KWh/m2)]],"&lt;&gt;0",RD[[#This Row],[IS1POA_BS1 (KWh/m2)]:[IS7POA_BS2 (KWh/m2)]]),"")</f>
        <v>0.19268006666666687</v>
      </c>
      <c r="DA62" s="193">
        <f>IFERROR(AVERAGEIF(RD[[#This Row],[IS1GHI_BS1 (KWh/m2)]:[IS1GHI_BS1 (KWh/m2)2]],"&lt;&gt;0",RD[[#This Row],[IS1GHI_BS1 (KWh/m2)]:[IS1GHI_BS1 (KWh/m2)2]]),"")</f>
        <v>0.24761743333333364</v>
      </c>
      <c r="DB62" s="193">
        <f>IFERROR(AVERAGEIF(RD[[#This Row],[IS1AT1 (°C)]:[IS7AT2 (°C)]],"&lt;&gt;0",RD[[#This Row],[IS1AT1 (°C)]:[IS7AT2 (°C)]]),"")</f>
        <v>26.680776542092325</v>
      </c>
      <c r="DC62" s="193">
        <f>IFERROR(AVERAGEIF(RD[[#This Row],[IS1MT1 (°C)]:[IS7MT2 (°C)]],"&lt;&gt;0",RD[[#This Row],[IS1MT1 (°C)]:[IS7MT2 (°C)]]),"")</f>
        <v>34.042662228087934</v>
      </c>
      <c r="DD62" s="193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193">
        <f>IFERROR(AVERAGEIF(RD[[#This Row],[WS_Solar1_Avg (m/s)]:[IS7_WS_Solar1_Avg (m/s)]],"&lt;&gt;0",RD[[#This Row],[WS_Solar1_Avg (m/s)]:[IS7_WS_Solar1_Avg (m/s)]]),"")</f>
        <v>0.83718705927993897</v>
      </c>
      <c r="DG62" s="193">
        <f>IFERROR(AVERAGEIF(RD[[#This Row],[WS_Solar1_Max (m/s)]:[IS7_WS_Solar1_Max (m/s)]],"&lt;&gt;0",RD[[#This Row],[WS_Solar1_Max (m/s)]:[IS7_WS_Solar1_Max (m/s)]]),"")</f>
        <v>2.3864999999999998</v>
      </c>
      <c r="DH62" s="193">
        <f>SUM(RD[[#This Row],[IS1Inv1M1]:[IS4Inv4M2]])</f>
        <v>87067</v>
      </c>
      <c r="DI62" s="194">
        <f>SUM(RD[[#This Row],[IS7Inv1M1]]+RD[[#This Row],[IS7Inv2M1]])</f>
        <v>5268</v>
      </c>
      <c r="DJ62" s="193">
        <f>SUM(RD[[#This Row],[IS5Inv1M1]:[IS5Inv2M2]])</f>
        <v>13678</v>
      </c>
      <c r="DK62" s="193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75">
        <f>SUM(RD[[#This Row],[IS12Inv1M1]:[IS12Inv1M4]])</f>
        <v>10829</v>
      </c>
      <c r="DO62" s="275">
        <f>SUM(RD[[#This Row],[IS13Inv1M1]:[IS13Inv2M2]])</f>
        <v>10203</v>
      </c>
      <c r="DP62" s="193">
        <f>SUM(RD[[#This Row],[O2R15]:[O2R26]])</f>
        <v>198709.1</v>
      </c>
      <c r="DQ62" s="158">
        <v>40974</v>
      </c>
      <c r="DR62" s="162">
        <v>213.4</v>
      </c>
      <c r="DS62" s="158">
        <v>35532.699999999997</v>
      </c>
      <c r="DT62" s="158">
        <v>225.8</v>
      </c>
      <c r="DU62" s="162">
        <v>41441.699999999997</v>
      </c>
      <c r="DV62" s="162">
        <v>404.9</v>
      </c>
      <c r="DW62" s="158">
        <v>9298.6</v>
      </c>
      <c r="DX62" s="162">
        <v>44.5</v>
      </c>
      <c r="DY62" s="162"/>
      <c r="DZ62" s="162"/>
      <c r="EA62" s="134">
        <v>96.91</v>
      </c>
      <c r="EB62" s="230">
        <v>130585796</v>
      </c>
      <c r="EC62" s="229">
        <v>949158.52800000005</v>
      </c>
      <c r="ED62" s="230">
        <v>1140</v>
      </c>
      <c r="EE62" s="230">
        <v>124865</v>
      </c>
      <c r="EF62" s="158">
        <v>181090.7</v>
      </c>
      <c r="EG62" s="158">
        <v>1856.4</v>
      </c>
      <c r="EH62" s="140">
        <f>IF((RD[[#This Row],[33 kV_F3_Ex
Incomer1]]-DQ61)*1000&lt;0,0,(RD[[#This Row],[33 kV_F3_Ex
Incomer1]]-DQ61)*1000)</f>
        <v>44099.999999998545</v>
      </c>
      <c r="EI62" s="140">
        <f>IF((RD[[#This Row],[34 kV_F3_Im
Incomer1]]-DR61)*1000&lt;0,0,(RD[[#This Row],[34 kV_F3_Im
Incomer1]]-DR61)*1000)</f>
        <v>300.00000000001137</v>
      </c>
      <c r="EJ62" s="140">
        <f>IF((RD[[#This Row],[33 kV_F4_Ex
Incomer2]]-DS61)*1000&lt;0,0,(RD[[#This Row],[33 kV_F4_Ex
Incomer2]]-DS61)*1000)</f>
        <v>42099.999999998545</v>
      </c>
      <c r="EK62" s="140">
        <f>IF((RD[[#This Row],[34 kV_F4_Im
Incomer2]]-DT61)*1000&lt;0,0,(RD[[#This Row],[34 kV_F4_Im
Incomer2]]-DT61)*1000)</f>
        <v>300.00000000001137</v>
      </c>
      <c r="EL62" s="140">
        <f>IF((RD[[#This Row],[33 kV_F5_Ex
Incomer3]]-DU61)*1000&lt;0,0,(RD[[#This Row],[33 kV_F5_Ex
Incomer3]]-DU61)*1000)</f>
        <v>58299.999999995634</v>
      </c>
      <c r="EM62" s="140">
        <f>IF((RD[[#This Row],[34 kV_F5_Im
Incomer3]]-DV61)*1000&lt;0,0,(RD[[#This Row],[34 kV_F5_Im
Incomer3]]-DV61)*1000)</f>
        <v>599.99999999996589</v>
      </c>
      <c r="EN62" s="140">
        <f>IF((RD[[#This Row],[33 kV_F6_Ex
Incomer4]]-DW61)*1000&lt;0,0,(RD[[#This Row],[33 kV_F6_Ex
Incomer4]]-DW61)*1000)</f>
        <v>50300.000000001091</v>
      </c>
      <c r="EO62" s="140">
        <f t="shared" si="163"/>
        <v>299.99999999998295</v>
      </c>
      <c r="EP62" s="140">
        <f>IF((RD[[#This Row],[33 kV_F7_Ex
Incomer5]]-DY61)*1000&lt;0,0,(RD[[#This Row],[33 kV_F7_Ex
Incomer5]]-DY61)*1000)</f>
        <v>0</v>
      </c>
      <c r="EQ62" s="140">
        <f>IF((RD[[#This Row],[33 kV_F7_Im
Incomer5]]-DZ61)*1000&lt;0,0,(RD[[#This Row],[33 kV_F7_Im
Incomer5]]-DZ61)*1000)</f>
        <v>0</v>
      </c>
      <c r="ER62" s="140">
        <f>IF((RD[[#This Row],[33 kV_Aux Trafo]]-EA61)*1000&lt;0,0,(RD[[#This Row],[33 kV_Aux Trafo]]-EA61)*1000)</f>
        <v>229.99999999998977</v>
      </c>
      <c r="ES62" s="152">
        <f>IF((RD[[#This Row],[33kV_OG1_Ex_]]-EB61)*1&lt;0,0,(RD[[#This Row],[33kV_OG1_Ex_]]-EB61)*1)</f>
        <v>195895</v>
      </c>
      <c r="ET62" s="140">
        <f>IF((RD[[#This Row],[33kV_OG1_Im]]-EC61)*1&lt;0,0,(RD[[#This Row],[33kV_OG1_Im]]-EC61)*1)</f>
        <v>2458.2400000001071</v>
      </c>
      <c r="EU62" s="140">
        <f>IF((RD[[#This Row],[132kV_TX1_EX]]-ED61)*720&lt;=0,"",(RD[[#This Row],[132kV_TX1_EX]]-ED61)*720)</f>
        <v>2160</v>
      </c>
      <c r="EV62" s="140">
        <f>IF((RD[[#This Row],[132 kV_Tx1_Im]]-EE61)*720&lt;=0,0,(RD[[#This Row],[132 kV_Tx1_Im]]-EE61)*720)</f>
        <v>140400</v>
      </c>
      <c r="EW62" s="140">
        <f>IF((RD[[#This Row],[132kV_L1_Ex]]-EF61)*720&lt;=0,0,(RD[[#This Row],[132kV_L1_Ex]]-EF61)*720)</f>
        <v>195120</v>
      </c>
      <c r="EX62" s="140">
        <f>IF((RD[[#This Row],[132kV_L1_Im]]-EG61)*720&lt;=0,0,(RD[[#This Row],[132kV_L1_Im]]-EG61)*720)</f>
        <v>2880</v>
      </c>
      <c r="EY62" s="231">
        <f>IFERROR(RD[[#This Row],[33kV_OG1_Ex (MWh)]]+RD[[#This Row],[33kV_OG1_Im (MWh)]],"")</f>
        <v>198353.24000000011</v>
      </c>
      <c r="EZ62" s="142">
        <f>RD[[#This Row],[33kV_OG1_Ex (MWh)]]-RD[[#This Row],[33kV_OG1_Im (MWh)]]</f>
        <v>193436.75999999989</v>
      </c>
      <c r="FA62" s="142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32">
        <f>IFERROR((RD[[#This Row],[Sunset Time (POA&lt;20 W/m2)]]-RD[[#This Row],[Sunrise Time (POA&gt;20 W/m2)]])*24,0)</f>
        <v>11.850000000000001</v>
      </c>
      <c r="FD62" s="233">
        <v>120.7</v>
      </c>
      <c r="FE62" s="287" t="s">
        <v>292</v>
      </c>
      <c r="FG62" s="138" t="str">
        <f>IFERROR(RD[[#This Row],[E_AC (WPR)]]/RD[[#This Row],[E_DC (WPR)]],"")</f>
        <v/>
      </c>
    </row>
    <row r="63" spans="1:163">
      <c r="A63" s="130">
        <f t="shared" si="161"/>
        <v>45803</v>
      </c>
      <c r="B63" s="132">
        <f>YEAR(RD[[#This Row],[Date]])+IF(MONTH(RD[[#This Row],[Date]])&gt;=4,1,0)</f>
        <v>2026</v>
      </c>
      <c r="C63" s="132">
        <f>YEAR(RD[[#This Row],[Date]])</f>
        <v>2025</v>
      </c>
      <c r="D63" s="133">
        <f t="shared" si="164"/>
        <v>45778</v>
      </c>
      <c r="E63" s="132">
        <f>DAY(EOMONTH(RD[[#This Row],[Date]],0))</f>
        <v>31</v>
      </c>
      <c r="F63" s="146">
        <v>0.25208333333333333</v>
      </c>
      <c r="G63" s="156">
        <v>0.7631944444444444</v>
      </c>
      <c r="H63" s="121">
        <v>8748.4</v>
      </c>
      <c r="I63" s="257">
        <v>8695.4</v>
      </c>
      <c r="J63" s="121">
        <v>8252.2000000000007</v>
      </c>
      <c r="K63" s="121">
        <v>8345.4</v>
      </c>
      <c r="L63" s="121">
        <v>8550</v>
      </c>
      <c r="M63" s="121">
        <v>8791.2000000000007</v>
      </c>
      <c r="N63" s="121">
        <v>8606.2000000000007</v>
      </c>
      <c r="O63" s="121">
        <v>9231.4</v>
      </c>
      <c r="P63" s="121">
        <v>8224.1</v>
      </c>
      <c r="Q63" s="121">
        <v>8428.6</v>
      </c>
      <c r="R63" s="121">
        <v>8708.6</v>
      </c>
      <c r="S63" s="255">
        <v>8660.7000000000007</v>
      </c>
      <c r="T63" s="121">
        <v>9124.2999999999993</v>
      </c>
      <c r="U63" s="121">
        <v>8938.7000000000007</v>
      </c>
      <c r="V63" s="121">
        <v>8917.5</v>
      </c>
      <c r="W63" s="121">
        <v>8538.2999999999993</v>
      </c>
      <c r="X63" s="255">
        <v>12043</v>
      </c>
      <c r="Y63" s="192">
        <v>13169.1</v>
      </c>
      <c r="Z63" s="192">
        <v>11613.6</v>
      </c>
      <c r="AA63" s="192">
        <v>12032.2</v>
      </c>
      <c r="AB63" s="255">
        <v>12829.2</v>
      </c>
      <c r="AC63" s="192">
        <v>8100.3</v>
      </c>
      <c r="AD63" s="192">
        <v>12042.1</v>
      </c>
      <c r="AE63" s="192">
        <v>12238.7</v>
      </c>
      <c r="AF63" s="255">
        <v>12085.5</v>
      </c>
      <c r="AG63" s="192">
        <v>12108</v>
      </c>
      <c r="AH63" s="192">
        <v>12016.2</v>
      </c>
      <c r="AI63" s="255">
        <v>12089.8</v>
      </c>
      <c r="AJ63" s="192">
        <v>10294.5</v>
      </c>
      <c r="AK63" s="255">
        <v>10564.9</v>
      </c>
      <c r="AL63" s="192">
        <v>10369.4</v>
      </c>
      <c r="AM63" s="255">
        <v>10396.799999999999</v>
      </c>
      <c r="AN63" s="192">
        <v>10301.9</v>
      </c>
      <c r="AO63" s="255">
        <v>10598.5</v>
      </c>
      <c r="AP63" s="192">
        <v>10417.5</v>
      </c>
      <c r="AQ63" s="255">
        <v>10260.700000000001</v>
      </c>
      <c r="AR63" s="192">
        <v>8332.7000000000007</v>
      </c>
      <c r="AS63" s="255">
        <v>8399.2999999999993</v>
      </c>
      <c r="AT63" s="192">
        <v>8497.4</v>
      </c>
      <c r="AU63" s="255">
        <v>8455.2000000000007</v>
      </c>
      <c r="AV63" s="192">
        <v>8564.7000000000007</v>
      </c>
      <c r="AW63" s="192">
        <v>8269</v>
      </c>
      <c r="AX63" s="192">
        <v>11939.8</v>
      </c>
      <c r="AY63" s="192">
        <v>13085</v>
      </c>
      <c r="AZ63" s="192">
        <v>9619</v>
      </c>
      <c r="BA63" s="192">
        <v>11753</v>
      </c>
      <c r="BB63" s="192">
        <v>12273</v>
      </c>
      <c r="BC63" s="192">
        <v>10305</v>
      </c>
      <c r="BD63" s="192">
        <v>8653</v>
      </c>
      <c r="BE63" s="192">
        <v>11577</v>
      </c>
      <c r="BF63" s="192">
        <v>12355</v>
      </c>
      <c r="BG63" s="192">
        <v>2991</v>
      </c>
      <c r="BH63" s="192">
        <v>0</v>
      </c>
      <c r="BI63" s="192">
        <v>0</v>
      </c>
      <c r="BJ63" s="192">
        <v>8549</v>
      </c>
      <c r="BK63" s="192">
        <v>5288</v>
      </c>
      <c r="BL63" s="192">
        <v>6969</v>
      </c>
      <c r="BM63" s="192">
        <v>7220</v>
      </c>
      <c r="BN63" s="192">
        <v>8626</v>
      </c>
      <c r="BO63" s="192">
        <v>8365</v>
      </c>
      <c r="BP63" s="192">
        <v>8872</v>
      </c>
      <c r="BQ63" s="192">
        <v>8420</v>
      </c>
      <c r="BR63" s="192">
        <v>9473</v>
      </c>
      <c r="BS63" s="192">
        <v>9174</v>
      </c>
      <c r="BT63" s="192">
        <v>5337</v>
      </c>
      <c r="BU63" s="192">
        <v>8418</v>
      </c>
      <c r="BV63" s="192"/>
      <c r="BW63" s="192"/>
      <c r="BX63" s="192"/>
      <c r="BY63" s="192"/>
      <c r="BZ63" s="192">
        <v>1373</v>
      </c>
      <c r="CA63" s="192">
        <v>1164</v>
      </c>
      <c r="CB63" s="192">
        <v>2551</v>
      </c>
      <c r="CC63" s="192">
        <v>8649</v>
      </c>
      <c r="CD63" s="250">
        <v>6.702747316666664</v>
      </c>
      <c r="CE63" s="250">
        <v>6.7837472000000005</v>
      </c>
      <c r="CF63" s="250">
        <v>7.0625859833333262</v>
      </c>
      <c r="CG63" s="250">
        <v>7.0219317500000038</v>
      </c>
      <c r="CH63" s="250">
        <v>0.65230341666666647</v>
      </c>
      <c r="CI63" s="250">
        <v>0.73835403333333371</v>
      </c>
      <c r="CJ63" s="250">
        <v>0.9575759000000007</v>
      </c>
      <c r="CK63" s="250">
        <v>0.86848776666666716</v>
      </c>
      <c r="CL63" s="250">
        <v>30.005157013258927</v>
      </c>
      <c r="CM63" s="250">
        <v>29.21292887029292</v>
      </c>
      <c r="CN63" s="250">
        <v>44.094935799023055</v>
      </c>
      <c r="CO63" s="250">
        <v>42.154635983263624</v>
      </c>
      <c r="CP63" s="250">
        <v>77.974054431263127</v>
      </c>
      <c r="CQ63" s="250">
        <v>78.444602510460413</v>
      </c>
      <c r="CR63" s="250">
        <v>1.9999999999999985E-4</v>
      </c>
      <c r="CS63" s="250">
        <v>0</v>
      </c>
      <c r="CT63" s="250">
        <v>0.62154849965108161</v>
      </c>
      <c r="CU63" s="250">
        <v>0.65169037656903883</v>
      </c>
      <c r="CV63" s="250">
        <v>5.8470000000000004</v>
      </c>
      <c r="CW63" s="250">
        <v>4.7880000000000003</v>
      </c>
      <c r="CX63" s="193">
        <f>IFERROR(AVERAGEIF(RD[[#This Row],[IS1POA1 (KWh/m2)]:[IS7POA2 (KWh/m2)]],"&lt;&gt;0",RD[[#This Row],[IS1POA1 (KWh/m2)]:[IS7POA2 (KWh/m2)]]),"")</f>
        <v>6.7432472583333318</v>
      </c>
      <c r="CY63" s="193">
        <f>IFERROR(AVERAGEIF(RD[[#This Row],[IS1GHI1 (KWh/m2)]:[IS7GHI2 (KWh/m2)]],"&lt;&gt;0",RD[[#This Row],[IS1GHI1 (KWh/m2)]:[IS7GHI2 (KWh/m2)]]),"")</f>
        <v>7.042258866666665</v>
      </c>
      <c r="CZ63" s="193">
        <f>IFERROR(AVERAGEIF(RD[[#This Row],[IS1POA_BS1 (KWh/m2)]:[IS7POA_BS2 (KWh/m2)]],"&lt;&gt;0",RD[[#This Row],[IS1POA_BS1 (KWh/m2)]:[IS7POA_BS2 (KWh/m2)]]),"")</f>
        <v>0.69532872500000009</v>
      </c>
      <c r="DA63" s="193">
        <f>IFERROR(AVERAGEIF(RD[[#This Row],[IS1GHI_BS1 (KWh/m2)]:[IS1GHI_BS1 (KWh/m2)2]],"&lt;&gt;0",RD[[#This Row],[IS1GHI_BS1 (KWh/m2)]:[IS1GHI_BS1 (KWh/m2)2]]),"")</f>
        <v>0.91303183333333393</v>
      </c>
      <c r="DB63" s="193">
        <f>IFERROR(AVERAGEIF(RD[[#This Row],[IS1AT1 (°C)]:[IS7AT2 (°C)]],"&lt;&gt;0",RD[[#This Row],[IS1AT1 (°C)]:[IS7AT2 (°C)]]),"")</f>
        <v>29.609042941775925</v>
      </c>
      <c r="DC63" s="193">
        <f>IFERROR(AVERAGEIF(RD[[#This Row],[IS1MT1 (°C)]:[IS7MT2 (°C)]],"&lt;&gt;0",RD[[#This Row],[IS1MT1 (°C)]:[IS7MT2 (°C)]]),"")</f>
        <v>43.12478589114334</v>
      </c>
      <c r="DD63" s="193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193">
        <f>IFERROR(AVERAGEIF(RD[[#This Row],[WS_Solar1_Avg (m/s)]:[IS7_WS_Solar1_Avg (m/s)]],"&lt;&gt;0",RD[[#This Row],[WS_Solar1_Avg (m/s)]:[IS7_WS_Solar1_Avg (m/s)]]),"")</f>
        <v>0.63661943811006028</v>
      </c>
      <c r="DG63" s="193">
        <f>IFERROR(AVERAGEIF(RD[[#This Row],[WS_Solar1_Max (m/s)]:[IS7_WS_Solar1_Max (m/s)]],"&lt;&gt;0",RD[[#This Row],[WS_Solar1_Max (m/s)]:[IS7_WS_Solar1_Max (m/s)]]),"")</f>
        <v>5.3175000000000008</v>
      </c>
      <c r="DH63" s="193">
        <f>SUM(RD[[#This Row],[IS1Inv1M1]:[IS4Inv4M2]])</f>
        <v>281128.7</v>
      </c>
      <c r="DI63" s="194">
        <f>SUM(RD[[#This Row],[IS7Inv1M1]]+RD[[#This Row],[IS7Inv2M1]])</f>
        <v>16732</v>
      </c>
      <c r="DJ63" s="193">
        <f>SUM(RD[[#This Row],[IS5Inv1M1]:[IS5Inv2M2]])</f>
        <v>41625.600000000006</v>
      </c>
      <c r="DK63" s="193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75">
        <f>SUM(RD[[#This Row],[IS12Inv1M1]:[IS12Inv1M4]])</f>
        <v>34283</v>
      </c>
      <c r="DO63" s="275">
        <f>SUM(RD[[#This Row],[IS13Inv1M1]:[IS13Inv2M2]])</f>
        <v>32402</v>
      </c>
      <c r="DP63" s="193">
        <f>SUM(RD[[#This Row],[O2R15]:[O2R26]])</f>
        <v>627850</v>
      </c>
      <c r="DQ63" s="158">
        <v>41115.300000000003</v>
      </c>
      <c r="DR63" s="162">
        <v>213.8</v>
      </c>
      <c r="DS63" s="158">
        <v>35664.300000000003</v>
      </c>
      <c r="DT63" s="158">
        <v>226.2</v>
      </c>
      <c r="DU63" s="162">
        <v>41619.199999999997</v>
      </c>
      <c r="DV63" s="162">
        <v>405.8</v>
      </c>
      <c r="DW63" s="158">
        <v>9464.2999999999993</v>
      </c>
      <c r="DX63" s="162">
        <v>45.9</v>
      </c>
      <c r="DY63" s="162"/>
      <c r="DZ63" s="162"/>
      <c r="EA63" s="134">
        <v>97.23</v>
      </c>
      <c r="EB63" s="230">
        <v>131205685</v>
      </c>
      <c r="EC63" s="229">
        <v>952748.60800000001</v>
      </c>
      <c r="ED63" s="230">
        <v>1144</v>
      </c>
      <c r="EE63" s="230">
        <v>125482</v>
      </c>
      <c r="EF63" s="158">
        <v>181949</v>
      </c>
      <c r="EG63" s="158">
        <v>1862.3</v>
      </c>
      <c r="EH63" s="140">
        <f>IF((RD[[#This Row],[33 kV_F3_Ex
Incomer1]]-DQ62)*1000&lt;0,0,(RD[[#This Row],[33 kV_F3_Ex
Incomer1]]-DQ62)*1000)</f>
        <v>141300.00000000291</v>
      </c>
      <c r="EI63" s="140">
        <f>IF((RD[[#This Row],[34 kV_F3_Im
Incomer1]]-DR62)*1000&lt;0,0,(RD[[#This Row],[34 kV_F3_Im
Incomer1]]-DR62)*1000)</f>
        <v>400.00000000000568</v>
      </c>
      <c r="EJ63" s="140">
        <f>IF((RD[[#This Row],[33 kV_F4_Ex
Incomer2]]-DS62)*1000&lt;0,0,(RD[[#This Row],[33 kV_F4_Ex
Incomer2]]-DS62)*1000)</f>
        <v>131600.00000000582</v>
      </c>
      <c r="EK63" s="140">
        <f>IF((RD[[#This Row],[34 kV_F4_Im
Incomer2]]-DT62)*1000&lt;0,0,(RD[[#This Row],[34 kV_F4_Im
Incomer2]]-DT62)*1000)</f>
        <v>399.99999999997726</v>
      </c>
      <c r="EL63" s="140">
        <f>IF((RD[[#This Row],[33 kV_F5_Ex
Incomer3]]-DU62)*1000&lt;0,0,(RD[[#This Row],[33 kV_F5_Ex
Incomer3]]-DU62)*1000)</f>
        <v>177500</v>
      </c>
      <c r="EM63" s="140">
        <f>IF((RD[[#This Row],[34 kV_F5_Im
Incomer3]]-DV62)*1000&lt;0,0,(RD[[#This Row],[34 kV_F5_Im
Incomer3]]-DV62)*1000)</f>
        <v>900.00000000003411</v>
      </c>
      <c r="EN63" s="140">
        <f>IF((RD[[#This Row],[33 kV_F6_Ex
Incomer4]]-DW62)*1000&lt;0,0,(RD[[#This Row],[33 kV_F6_Ex
Incomer4]]-DW62)*1000)</f>
        <v>165699.99999999889</v>
      </c>
      <c r="EO63" s="140">
        <f t="shared" si="163"/>
        <v>400.00000000000568</v>
      </c>
      <c r="EP63" s="140">
        <f>IF((RD[[#This Row],[33 kV_F7_Ex
Incomer5]]-DY62)*1000&lt;0,0,(RD[[#This Row],[33 kV_F7_Ex
Incomer5]]-DY62)*1000)</f>
        <v>0</v>
      </c>
      <c r="EQ63" s="140">
        <f>IF((RD[[#This Row],[33 kV_F7_Im
Incomer5]]-DZ62)*1000&lt;0,0,(RD[[#This Row],[33 kV_F7_Im
Incomer5]]-DZ62)*1000)</f>
        <v>0</v>
      </c>
      <c r="ER63" s="140">
        <f>IF((RD[[#This Row],[33 kV_Aux Trafo]]-EA62)*1000&lt;0,0,(RD[[#This Row],[33 kV_Aux Trafo]]-EA62)*1000)</f>
        <v>320.00000000000739</v>
      </c>
      <c r="ES63" s="152">
        <f>IF((RD[[#This Row],[33kV_OG1_Ex_]]-EB62)*1&lt;0,0,(RD[[#This Row],[33kV_OG1_Ex_]]-EB62)*1)</f>
        <v>619889</v>
      </c>
      <c r="ET63" s="140">
        <f>IF((RD[[#This Row],[33kV_OG1_Im]]-EC62)*1&lt;0,0,(RD[[#This Row],[33kV_OG1_Im]]-EC62)*1)</f>
        <v>3590.0799999999581</v>
      </c>
      <c r="EU63" s="140">
        <f>IF((RD[[#This Row],[132kV_TX1_EX]]-ED62)*720&lt;=0,"",(RD[[#This Row],[132kV_TX1_EX]]-ED62)*720)</f>
        <v>2880</v>
      </c>
      <c r="EV63" s="140">
        <f>IF((RD[[#This Row],[132 kV_Tx1_Im]]-EE62)*720&lt;=0,0,(RD[[#This Row],[132 kV_Tx1_Im]]-EE62)*720)</f>
        <v>444240</v>
      </c>
      <c r="EW63" s="140">
        <f>IF((RD[[#This Row],[132kV_L1_Ex]]-EF62)*720&lt;=0,0,(RD[[#This Row],[132kV_L1_Ex]]-EF62)*720)</f>
        <v>617975.99999999162</v>
      </c>
      <c r="EX63" s="140">
        <f>IF((RD[[#This Row],[132kV_L1_Im]]-EG62)*720&lt;=0,0,(RD[[#This Row],[132kV_L1_Im]]-EG62)*720)</f>
        <v>4247.9999999999018</v>
      </c>
      <c r="EY63" s="231">
        <f>IFERROR(RD[[#This Row],[33kV_OG1_Ex (MWh)]]+RD[[#This Row],[33kV_OG1_Im (MWh)]],"")</f>
        <v>623479.07999999996</v>
      </c>
      <c r="EZ63" s="142">
        <f>RD[[#This Row],[33kV_OG1_Ex (MWh)]]-RD[[#This Row],[33kV_OG1_Im (MWh)]]</f>
        <v>616298.92000000004</v>
      </c>
      <c r="FA63" s="142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32">
        <f>IFERROR((RD[[#This Row],[Sunset Time (POA&lt;20 W/m2)]]-RD[[#This Row],[Sunrise Time (POA&gt;20 W/m2)]])*24,0)</f>
        <v>12.266666666666666</v>
      </c>
      <c r="FD63" s="233">
        <v>120.7</v>
      </c>
      <c r="FE63" t="s">
        <v>293</v>
      </c>
      <c r="FG63" s="138" t="str">
        <f>IFERROR(RD[[#This Row],[E_AC (WPR)]]/RD[[#This Row],[E_DC (WPR)]],"")</f>
        <v/>
      </c>
    </row>
    <row r="64" spans="1:163">
      <c r="A64" s="130">
        <f t="shared" si="161"/>
        <v>45804</v>
      </c>
      <c r="B64" s="132">
        <f>YEAR(RD[[#This Row],[Date]])+IF(MONTH(RD[[#This Row],[Date]])&gt;=4,1,0)</f>
        <v>2026</v>
      </c>
      <c r="C64" s="132">
        <f>YEAR(RD[[#This Row],[Date]])</f>
        <v>2025</v>
      </c>
      <c r="D64" s="133">
        <f t="shared" si="164"/>
        <v>45778</v>
      </c>
      <c r="E64" s="132">
        <f>DAY(EOMONTH(RD[[#This Row],[Date]],0))</f>
        <v>31</v>
      </c>
      <c r="F64" s="146">
        <v>0.25347222222222221</v>
      </c>
      <c r="G64" s="156">
        <v>0.77916666666666667</v>
      </c>
      <c r="H64" s="121">
        <v>7756.7</v>
      </c>
      <c r="I64" s="257">
        <v>7652.2</v>
      </c>
      <c r="J64" s="121">
        <v>7181.9</v>
      </c>
      <c r="K64" s="121">
        <v>7249.2</v>
      </c>
      <c r="L64" s="121">
        <v>7468.9</v>
      </c>
      <c r="M64" s="121">
        <v>7737.2</v>
      </c>
      <c r="N64" s="121">
        <v>7493.4</v>
      </c>
      <c r="O64" s="121">
        <v>8306.2999999999993</v>
      </c>
      <c r="P64" s="121">
        <v>7587</v>
      </c>
      <c r="Q64" s="121">
        <v>7362</v>
      </c>
      <c r="R64" s="121">
        <v>7728.5</v>
      </c>
      <c r="S64" s="255">
        <v>7726.5</v>
      </c>
      <c r="T64" s="121">
        <v>8160.1</v>
      </c>
      <c r="U64" s="121">
        <v>7819.2</v>
      </c>
      <c r="V64" s="121">
        <v>7924.1</v>
      </c>
      <c r="W64" s="121">
        <v>7580.6</v>
      </c>
      <c r="X64" s="255">
        <v>10555.1</v>
      </c>
      <c r="Y64" s="192">
        <v>11778.5</v>
      </c>
      <c r="Z64" s="192">
        <v>10262.299999999999</v>
      </c>
      <c r="AA64" s="192">
        <v>10761.6</v>
      </c>
      <c r="AB64" s="255">
        <v>11584.6</v>
      </c>
      <c r="AC64" s="192">
        <v>7075.7</v>
      </c>
      <c r="AD64" s="192">
        <v>10710.1</v>
      </c>
      <c r="AE64" s="192">
        <v>10927.7</v>
      </c>
      <c r="AF64" s="255">
        <v>10670.4</v>
      </c>
      <c r="AG64" s="192">
        <v>10591.4</v>
      </c>
      <c r="AH64" s="192">
        <v>10582.8</v>
      </c>
      <c r="AI64" s="255">
        <v>10647.3</v>
      </c>
      <c r="AJ64" s="192">
        <v>8709.7000000000007</v>
      </c>
      <c r="AK64" s="255">
        <v>8918.9</v>
      </c>
      <c r="AL64" s="192">
        <v>8705.7000000000007</v>
      </c>
      <c r="AM64" s="255">
        <v>8789.2999999999993</v>
      </c>
      <c r="AN64" s="192">
        <v>8732.4</v>
      </c>
      <c r="AO64" s="255">
        <v>9021.5</v>
      </c>
      <c r="AP64" s="192">
        <v>8867.9</v>
      </c>
      <c r="AQ64" s="255">
        <v>8759.2000000000007</v>
      </c>
      <c r="AR64" s="192">
        <v>7113.1</v>
      </c>
      <c r="AS64" s="255">
        <v>7155.9</v>
      </c>
      <c r="AT64" s="192">
        <v>7196.7</v>
      </c>
      <c r="AU64" s="255">
        <v>7165.2</v>
      </c>
      <c r="AV64" s="258">
        <v>7345.6</v>
      </c>
      <c r="AW64" s="192">
        <v>7064</v>
      </c>
      <c r="AX64" s="252">
        <v>10103</v>
      </c>
      <c r="AY64" s="192">
        <v>11377</v>
      </c>
      <c r="AZ64" s="192">
        <v>8152</v>
      </c>
      <c r="BA64" s="192">
        <v>9848</v>
      </c>
      <c r="BB64" s="192">
        <v>10562</v>
      </c>
      <c r="BC64" s="192">
        <v>8834</v>
      </c>
      <c r="BD64" s="192">
        <v>7441</v>
      </c>
      <c r="BE64" s="192">
        <v>9934</v>
      </c>
      <c r="BF64" s="192">
        <v>11221</v>
      </c>
      <c r="BG64" s="192">
        <v>3134</v>
      </c>
      <c r="BH64" s="192">
        <v>0</v>
      </c>
      <c r="BI64" s="192">
        <v>0</v>
      </c>
      <c r="BJ64" s="192">
        <v>6867</v>
      </c>
      <c r="BK64" s="192">
        <v>4774</v>
      </c>
      <c r="BL64" s="192">
        <v>6569</v>
      </c>
      <c r="BM64" s="192">
        <v>6702</v>
      </c>
      <c r="BN64" s="192">
        <v>7533</v>
      </c>
      <c r="BO64" s="192">
        <v>7168</v>
      </c>
      <c r="BP64" s="192">
        <v>7864</v>
      </c>
      <c r="BQ64" s="192">
        <v>7225</v>
      </c>
      <c r="BR64" s="192">
        <v>8023</v>
      </c>
      <c r="BS64" s="192">
        <v>7830</v>
      </c>
      <c r="BT64" s="192">
        <v>6314</v>
      </c>
      <c r="BU64" s="192">
        <v>7785</v>
      </c>
      <c r="BV64" s="192"/>
      <c r="BW64" s="192"/>
      <c r="BX64" s="192"/>
      <c r="BY64" s="192"/>
      <c r="BZ64" s="192">
        <v>1150</v>
      </c>
      <c r="CA64" s="192">
        <v>972</v>
      </c>
      <c r="CB64" s="192">
        <v>4479</v>
      </c>
      <c r="CC64" s="192">
        <v>7416</v>
      </c>
      <c r="CD64" s="250">
        <v>5.6310136166666656</v>
      </c>
      <c r="CE64" s="250">
        <v>5.5477525166666704</v>
      </c>
      <c r="CF64" s="250">
        <v>5.8758837500000016</v>
      </c>
      <c r="CG64" s="250">
        <v>5.6701083333333342</v>
      </c>
      <c r="CH64" s="250">
        <v>0.58254346666666668</v>
      </c>
      <c r="CI64" s="250">
        <v>0.69666298333333221</v>
      </c>
      <c r="CJ64" s="250">
        <v>0.91022528333333452</v>
      </c>
      <c r="CK64" s="250">
        <v>0.76850763333333316</v>
      </c>
      <c r="CL64" s="250">
        <v>29.727699496764924</v>
      </c>
      <c r="CM64" s="250">
        <v>29.641421392677643</v>
      </c>
      <c r="CN64" s="250">
        <v>42.09742343637663</v>
      </c>
      <c r="CO64" s="250">
        <v>39.379972720746558</v>
      </c>
      <c r="CP64" s="250">
        <v>71.276757728253131</v>
      </c>
      <c r="CQ64" s="250">
        <v>72.573625269203234</v>
      </c>
      <c r="CR64" s="250">
        <v>1.2552120776419838E-2</v>
      </c>
      <c r="CS64" s="250">
        <v>1.9727207465900915E-2</v>
      </c>
      <c r="CT64" s="250">
        <v>1.3992077641984193</v>
      </c>
      <c r="CU64" s="250">
        <v>1.4713697056712132</v>
      </c>
      <c r="CV64" s="250">
        <v>4.6769999999999996</v>
      </c>
      <c r="CW64" s="250">
        <v>4.944</v>
      </c>
      <c r="CX64" s="193">
        <f>IFERROR(AVERAGEIF(RD[[#This Row],[IS1POA1 (KWh/m2)]:[IS7POA2 (KWh/m2)]],"&lt;&gt;0",RD[[#This Row],[IS1POA1 (KWh/m2)]:[IS7POA2 (KWh/m2)]]),"")</f>
        <v>5.5893830666666684</v>
      </c>
      <c r="CY64" s="193">
        <f>IFERROR(AVERAGEIF(RD[[#This Row],[IS1GHI1 (KWh/m2)]:[IS7GHI2 (KWh/m2)]],"&lt;&gt;0",RD[[#This Row],[IS1GHI1 (KWh/m2)]:[IS7GHI2 (KWh/m2)]]),"")</f>
        <v>5.7729960416666675</v>
      </c>
      <c r="CZ64" s="193">
        <f>IFERROR(AVERAGEIF(RD[[#This Row],[IS1POA_BS1 (KWh/m2)]:[IS7POA_BS2 (KWh/m2)]],"&lt;&gt;0",RD[[#This Row],[IS1POA_BS1 (KWh/m2)]:[IS7POA_BS2 (KWh/m2)]]),"")</f>
        <v>0.63960322499999944</v>
      </c>
      <c r="DA64" s="193">
        <f>IFERROR(AVERAGEIF(RD[[#This Row],[IS1GHI_BS1 (KWh/m2)]:[IS1GHI_BS1 (KWh/m2)2]],"&lt;&gt;0",RD[[#This Row],[IS1GHI_BS1 (KWh/m2)]:[IS1GHI_BS1 (KWh/m2)2]]),"")</f>
        <v>0.83936645833333379</v>
      </c>
      <c r="DB64" s="193">
        <f>IFERROR(AVERAGEIF(RD[[#This Row],[IS1AT1 (°C)]:[IS7AT2 (°C)]],"&lt;&gt;0",RD[[#This Row],[IS1AT1 (°C)]:[IS7AT2 (°C)]]),"")</f>
        <v>29.684560444721285</v>
      </c>
      <c r="DC64" s="193">
        <f>IFERROR(AVERAGEIF(RD[[#This Row],[IS1MT1 (°C)]:[IS7MT2 (°C)]],"&lt;&gt;0",RD[[#This Row],[IS1MT1 (°C)]:[IS7MT2 (°C)]]),"")</f>
        <v>40.738698078561598</v>
      </c>
      <c r="DD64" s="193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193">
        <f>IFERROR(AVERAGEIF(RD[[#This Row],[WS_Solar1_Avg (m/s)]:[IS7_WS_Solar1_Avg (m/s)]],"&lt;&gt;0",RD[[#This Row],[WS_Solar1_Avg (m/s)]:[IS7_WS_Solar1_Avg (m/s)]]),"")</f>
        <v>1.4352887349348162</v>
      </c>
      <c r="DG64" s="193">
        <f>IFERROR(AVERAGEIF(RD[[#This Row],[WS_Solar1_Max (m/s)]:[IS7_WS_Solar1_Max (m/s)]],"&lt;&gt;0",RD[[#This Row],[WS_Solar1_Max (m/s)]:[IS7_WS_Solar1_Max (m/s)]]),"")</f>
        <v>4.8104999999999993</v>
      </c>
      <c r="DH64" s="193">
        <f>SUM(RD[[#This Row],[IS1Inv1M1]:[IS4Inv4M2]])</f>
        <v>248881.30000000002</v>
      </c>
      <c r="DI64" s="194">
        <f>SUM(RD[[#This Row],[IS7Inv1M1]]+RD[[#This Row],[IS7Inv2M1]])</f>
        <v>14269</v>
      </c>
      <c r="DJ64" s="193">
        <f>SUM(RD[[#This Row],[IS5Inv1M1]:[IS5Inv2M2]])</f>
        <v>35123.599999999999</v>
      </c>
      <c r="DK64" s="193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75">
        <f>SUM(RD[[#This Row],[IS12Inv1M1]:[IS12Inv1M4]])</f>
        <v>29790</v>
      </c>
      <c r="DO64" s="275">
        <f>SUM(RD[[#This Row],[IS13Inv1M1]:[IS13Inv2M2]])</f>
        <v>29952</v>
      </c>
      <c r="DP64" s="193">
        <f>SUM(RD[[#This Row],[O2R15]:[O2R26]])</f>
        <v>551703.4</v>
      </c>
      <c r="DQ64" s="158">
        <v>41240.699999999997</v>
      </c>
      <c r="DR64" s="162">
        <v>213.9</v>
      </c>
      <c r="DS64" s="158">
        <v>35781.599999999999</v>
      </c>
      <c r="DT64" s="158">
        <v>226.5</v>
      </c>
      <c r="DU64" s="162">
        <v>41770.400000000001</v>
      </c>
      <c r="DV64" s="162">
        <v>406.2</v>
      </c>
      <c r="DW64" s="158">
        <v>9610.2999999999993</v>
      </c>
      <c r="DX64" s="162">
        <v>46.5</v>
      </c>
      <c r="DY64" s="162"/>
      <c r="DZ64" s="162"/>
      <c r="EA64" s="134">
        <v>97.47</v>
      </c>
      <c r="EB64" s="230">
        <v>131748265</v>
      </c>
      <c r="EC64" s="229">
        <v>954327.424</v>
      </c>
      <c r="ED64" s="230">
        <v>1146</v>
      </c>
      <c r="EE64" s="230">
        <v>126023</v>
      </c>
      <c r="EF64" s="158">
        <v>182700.2</v>
      </c>
      <c r="EG64" s="158">
        <v>1865</v>
      </c>
      <c r="EH64" s="140">
        <f>IF((RD[[#This Row],[33 kV_F3_Ex
Incomer1]]-DQ63)*1000&lt;0,0,(RD[[#This Row],[33 kV_F3_Ex
Incomer1]]-DQ63)*1000)</f>
        <v>125399.99999999418</v>
      </c>
      <c r="EI64" s="140">
        <f>IF((RD[[#This Row],[34 kV_F3_Im
Incomer1]]-DR63)*1000&lt;0,0,(RD[[#This Row],[34 kV_F3_Im
Incomer1]]-DR63)*1000)</f>
        <v>99.999999999994316</v>
      </c>
      <c r="EJ64" s="140">
        <f>IF((RD[[#This Row],[33 kV_F4_Ex
Incomer2]]-DS63)*1000&lt;0,0,(RD[[#This Row],[33 kV_F4_Ex
Incomer2]]-DS63)*1000)</f>
        <v>117299.99999999563</v>
      </c>
      <c r="EK64" s="140">
        <f>IF((RD[[#This Row],[34 kV_F4_Im
Incomer2]]-DT63)*1000&lt;0,0,(RD[[#This Row],[34 kV_F4_Im
Incomer2]]-DT63)*1000)</f>
        <v>300.00000000001137</v>
      </c>
      <c r="EL64" s="140">
        <f>IF((RD[[#This Row],[33 kV_F5_Ex
Incomer3]]-DU63)*1000&lt;0,0,(RD[[#This Row],[33 kV_F5_Ex
Incomer3]]-DU63)*1000)</f>
        <v>151200.00000000437</v>
      </c>
      <c r="EM64" s="140">
        <f>IF((RD[[#This Row],[34 kV_F5_Im
Incomer3]]-DV63)*1000&lt;0,0,(RD[[#This Row],[34 kV_F5_Im
Incomer3]]-DV63)*1000)</f>
        <v>399.99999999997726</v>
      </c>
      <c r="EN64" s="140">
        <f>IF((RD[[#This Row],[33 kV_F6_Ex
Incomer4]]-DW63)*1000&lt;0,0,(RD[[#This Row],[33 kV_F6_Ex
Incomer4]]-DW63)*1000)</f>
        <v>146000</v>
      </c>
      <c r="EO64" s="140">
        <f t="shared" si="163"/>
        <v>400.00000000000568</v>
      </c>
      <c r="EP64" s="140">
        <f>IF((RD[[#This Row],[33 kV_F7_Ex
Incomer5]]-DY63)*1000&lt;0,0,(RD[[#This Row],[33 kV_F7_Ex
Incomer5]]-DY63)*1000)</f>
        <v>0</v>
      </c>
      <c r="EQ64" s="140">
        <f>IF((RD[[#This Row],[33 kV_F7_Im
Incomer5]]-DZ63)*1000&lt;0,0,(RD[[#This Row],[33 kV_F7_Im
Incomer5]]-DZ63)*1000)</f>
        <v>0</v>
      </c>
      <c r="ER64" s="140">
        <f>IF((RD[[#This Row],[33 kV_Aux Trafo]]-EA63)*1000&lt;0,0,(RD[[#This Row],[33 kV_Aux Trafo]]-EA63)*1000)</f>
        <v>239.99999999999488</v>
      </c>
      <c r="ES64" s="152">
        <f>IF((RD[[#This Row],[33kV_OG1_Ex_]]-EB63)*1&lt;0,0,(RD[[#This Row],[33kV_OG1_Ex_]]-EB63)*1)</f>
        <v>542580</v>
      </c>
      <c r="ET64" s="140">
        <f>IF((RD[[#This Row],[33kV_OG1_Im]]-EC63)*1&lt;0,0,(RD[[#This Row],[33kV_OG1_Im]]-EC63)*1)</f>
        <v>1578.8159999999916</v>
      </c>
      <c r="EU64" s="140">
        <f>IF((RD[[#This Row],[132kV_TX1_EX]]-ED63)*720&lt;=0,"",(RD[[#This Row],[132kV_TX1_EX]]-ED63)*720)</f>
        <v>1440</v>
      </c>
      <c r="EV64" s="140">
        <f>IF((RD[[#This Row],[132 kV_Tx1_Im]]-EE63)*720&lt;=0,0,(RD[[#This Row],[132 kV_Tx1_Im]]-EE63)*720)</f>
        <v>389520</v>
      </c>
      <c r="EW64" s="140">
        <f>IF((RD[[#This Row],[132kV_L1_Ex]]-EF63)*720&lt;=0,0,(RD[[#This Row],[132kV_L1_Ex]]-EF63)*720)</f>
        <v>540864.00000000838</v>
      </c>
      <c r="EX64" s="140">
        <f>IF((RD[[#This Row],[132kV_L1_Im]]-EG63)*720&lt;=0,0,(RD[[#This Row],[132kV_L1_Im]]-EG63)*720)</f>
        <v>1944.0000000000327</v>
      </c>
      <c r="EY64" s="231">
        <f>IFERROR(RD[[#This Row],[33kV_OG1_Ex (MWh)]]+RD[[#This Row],[33kV_OG1_Im (MWh)]],"")</f>
        <v>544158.81599999999</v>
      </c>
      <c r="EZ64" s="142">
        <f>RD[[#This Row],[33kV_OG1_Ex (MWh)]]-RD[[#This Row],[33kV_OG1_Im (MWh)]]</f>
        <v>541001.18400000001</v>
      </c>
      <c r="FA64" s="142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32">
        <f>IFERROR((RD[[#This Row],[Sunset Time (POA&lt;20 W/m2)]]-RD[[#This Row],[Sunrise Time (POA&gt;20 W/m2)]])*24,0)</f>
        <v>12.616666666666667</v>
      </c>
      <c r="FD64" s="233">
        <v>120.7</v>
      </c>
      <c r="FE64" t="s">
        <v>284</v>
      </c>
      <c r="FG64" s="138" t="str">
        <f>IFERROR(RD[[#This Row],[E_AC (WPR)]]/RD[[#This Row],[E_DC (WPR)]],"")</f>
        <v/>
      </c>
    </row>
    <row r="65" spans="1:163">
      <c r="A65" s="130">
        <f t="shared" si="161"/>
        <v>45805</v>
      </c>
      <c r="B65" s="132">
        <f>YEAR(RD[[#This Row],[Date]])+IF(MONTH(RD[[#This Row],[Date]])&gt;=4,1,0)</f>
        <v>2026</v>
      </c>
      <c r="C65" s="132">
        <f>YEAR(RD[[#This Row],[Date]])</f>
        <v>2025</v>
      </c>
      <c r="D65" s="133">
        <f t="shared" si="164"/>
        <v>45778</v>
      </c>
      <c r="E65" s="132">
        <f>DAY(EOMONTH(RD[[#This Row],[Date]],0))</f>
        <v>31</v>
      </c>
      <c r="F65" s="146">
        <v>0.27638888888888891</v>
      </c>
      <c r="G65" s="156">
        <v>0.75277777777777777</v>
      </c>
      <c r="H65" s="121">
        <v>3850.1</v>
      </c>
      <c r="I65" s="257">
        <v>3805.3</v>
      </c>
      <c r="J65" s="121">
        <v>3572.9</v>
      </c>
      <c r="K65" s="121">
        <v>3636.8</v>
      </c>
      <c r="L65" s="121">
        <v>3758.5</v>
      </c>
      <c r="M65" s="121">
        <v>3867.1</v>
      </c>
      <c r="N65" s="121">
        <v>3730.5</v>
      </c>
      <c r="O65" s="121">
        <v>4131.6000000000004</v>
      </c>
      <c r="P65" s="121">
        <v>3826.9</v>
      </c>
      <c r="Q65" s="121">
        <v>3735.2</v>
      </c>
      <c r="R65" s="121">
        <v>3890.4</v>
      </c>
      <c r="S65" s="255">
        <v>3882.4</v>
      </c>
      <c r="T65" s="121">
        <v>4051</v>
      </c>
      <c r="U65" s="121">
        <v>3927.4</v>
      </c>
      <c r="V65" s="121">
        <v>3964.4</v>
      </c>
      <c r="W65" s="121">
        <v>3752.6</v>
      </c>
      <c r="X65" s="255">
        <v>5368.1</v>
      </c>
      <c r="Y65" s="192">
        <v>6123.1</v>
      </c>
      <c r="Z65" s="192">
        <v>5177.8</v>
      </c>
      <c r="AA65" s="192">
        <v>5428.3</v>
      </c>
      <c r="AB65" s="255">
        <v>5278.1</v>
      </c>
      <c r="AC65" s="192">
        <v>3621.7</v>
      </c>
      <c r="AD65" s="192">
        <v>5508.4</v>
      </c>
      <c r="AE65" s="192">
        <v>5619.6</v>
      </c>
      <c r="AF65" s="255">
        <v>5498.8</v>
      </c>
      <c r="AG65" s="192">
        <v>5462.4</v>
      </c>
      <c r="AH65" s="192">
        <v>5449.7</v>
      </c>
      <c r="AI65" s="255">
        <v>5490.3</v>
      </c>
      <c r="AJ65" s="192">
        <v>4489.8</v>
      </c>
      <c r="AK65" s="255">
        <v>4607.3999999999996</v>
      </c>
      <c r="AL65" s="192">
        <v>4504.1000000000004</v>
      </c>
      <c r="AM65" s="255">
        <v>4546.3999999999996</v>
      </c>
      <c r="AN65" s="192">
        <v>4503.6000000000004</v>
      </c>
      <c r="AO65" s="255">
        <v>4673</v>
      </c>
      <c r="AP65" s="192">
        <v>4585.2</v>
      </c>
      <c r="AQ65" s="255">
        <v>4539.8999999999996</v>
      </c>
      <c r="AR65" s="192">
        <v>3617.6</v>
      </c>
      <c r="AS65" s="255">
        <v>3644.9</v>
      </c>
      <c r="AT65" s="192">
        <v>3645.6</v>
      </c>
      <c r="AU65" s="255">
        <v>3627</v>
      </c>
      <c r="AV65" s="258">
        <v>3715.1</v>
      </c>
      <c r="AW65" s="192">
        <v>3646</v>
      </c>
      <c r="AX65" s="252">
        <v>5215.8999999999996</v>
      </c>
      <c r="AY65" s="192">
        <v>5877.9</v>
      </c>
      <c r="AZ65" s="192">
        <v>4206.7</v>
      </c>
      <c r="BA65" s="192">
        <v>5128.6000000000004</v>
      </c>
      <c r="BB65" s="192">
        <v>5156</v>
      </c>
      <c r="BC65" s="192">
        <v>4334.3</v>
      </c>
      <c r="BD65" s="192">
        <v>3662.2</v>
      </c>
      <c r="BE65" s="192">
        <v>4874.8</v>
      </c>
      <c r="BF65" s="192">
        <v>5869</v>
      </c>
      <c r="BG65" s="192">
        <v>1567</v>
      </c>
      <c r="BH65" s="192">
        <v>0</v>
      </c>
      <c r="BI65" s="192">
        <v>0</v>
      </c>
      <c r="BJ65" s="192">
        <v>3470.9</v>
      </c>
      <c r="BK65" s="192">
        <v>2394.6</v>
      </c>
      <c r="BL65" s="192">
        <v>3178.4</v>
      </c>
      <c r="BM65" s="192">
        <v>3254.3</v>
      </c>
      <c r="BN65" s="192">
        <v>3649.4</v>
      </c>
      <c r="BO65" s="192">
        <v>3472.5</v>
      </c>
      <c r="BP65" s="192">
        <v>3816.1</v>
      </c>
      <c r="BQ65" s="192">
        <v>3495.7</v>
      </c>
      <c r="BR65" s="192">
        <v>3962.1</v>
      </c>
      <c r="BS65" s="192">
        <v>3886.3</v>
      </c>
      <c r="BT65" s="192">
        <v>3694.2</v>
      </c>
      <c r="BU65" s="192">
        <v>3917.2</v>
      </c>
      <c r="BV65" s="192"/>
      <c r="BW65" s="192"/>
      <c r="BX65" s="192"/>
      <c r="BY65" s="192"/>
      <c r="BZ65" s="192">
        <v>505.6</v>
      </c>
      <c r="CA65" s="192">
        <v>420.9</v>
      </c>
      <c r="CB65" s="192">
        <v>2143.9</v>
      </c>
      <c r="CC65" s="192">
        <v>3603</v>
      </c>
      <c r="CD65" s="250">
        <v>2.6615388666666693</v>
      </c>
      <c r="CE65" s="250">
        <v>2.6957281499999977</v>
      </c>
      <c r="CF65" s="250">
        <v>2.7082277166666655</v>
      </c>
      <c r="CG65" s="250">
        <v>2.6881618499999962</v>
      </c>
      <c r="CH65" s="250">
        <v>0.22399478333333311</v>
      </c>
      <c r="CI65" s="250">
        <v>0.28848265000000001</v>
      </c>
      <c r="CJ65" s="250">
        <v>0.37205835000000032</v>
      </c>
      <c r="CK65" s="250">
        <v>0.31896305000000014</v>
      </c>
      <c r="CL65" s="250">
        <v>26.414406639004127</v>
      </c>
      <c r="CM65" s="250">
        <v>25.814458229942066</v>
      </c>
      <c r="CN65" s="250">
        <v>35.918674688796692</v>
      </c>
      <c r="CO65" s="250">
        <v>33.550726220016514</v>
      </c>
      <c r="CP65" s="250">
        <v>87.353344398340312</v>
      </c>
      <c r="CQ65" s="250">
        <v>87.573879239040522</v>
      </c>
      <c r="CR65" s="250">
        <v>0.14346887966804961</v>
      </c>
      <c r="CS65" s="250">
        <v>0.12893300248138934</v>
      </c>
      <c r="CT65" s="250">
        <v>1.2075684647302907</v>
      </c>
      <c r="CU65" s="250">
        <v>1.2820595533498764</v>
      </c>
      <c r="CV65" s="250">
        <v>3.3809999999999998</v>
      </c>
      <c r="CW65" s="250">
        <v>2.8740000000000001</v>
      </c>
      <c r="CX65" s="193">
        <f>IFERROR(AVERAGEIF(RD[[#This Row],[IS1POA1 (KWh/m2)]:[IS7POA2 (KWh/m2)]],"&lt;&gt;0",RD[[#This Row],[IS1POA1 (KWh/m2)]:[IS7POA2 (KWh/m2)]]),"")</f>
        <v>2.6786335083333332</v>
      </c>
      <c r="CY65" s="193">
        <f>IFERROR(AVERAGEIF(RD[[#This Row],[IS1GHI1 (KWh/m2)]:[IS7GHI2 (KWh/m2)]],"&lt;&gt;0",RD[[#This Row],[IS1GHI1 (KWh/m2)]:[IS7GHI2 (KWh/m2)]]),"")</f>
        <v>2.6981947833333306</v>
      </c>
      <c r="CZ65" s="193">
        <f>IFERROR(AVERAGEIF(RD[[#This Row],[IS1POA_BS1 (KWh/m2)]:[IS7POA_BS2 (KWh/m2)]],"&lt;&gt;0",RD[[#This Row],[IS1POA_BS1 (KWh/m2)]:[IS7POA_BS2 (KWh/m2)]]),"")</f>
        <v>0.25623871666666653</v>
      </c>
      <c r="DA65" s="193">
        <f>IFERROR(AVERAGEIF(RD[[#This Row],[IS1GHI_BS1 (KWh/m2)]:[IS1GHI_BS1 (KWh/m2)2]],"&lt;&gt;0",RD[[#This Row],[IS1GHI_BS1 (KWh/m2)]:[IS1GHI_BS1 (KWh/m2)2]]),"")</f>
        <v>0.34551070000000023</v>
      </c>
      <c r="DB65" s="193">
        <f>IFERROR(AVERAGEIF(RD[[#This Row],[IS1AT1 (°C)]:[IS7AT2 (°C)]],"&lt;&gt;0",RD[[#This Row],[IS1AT1 (°C)]:[IS7AT2 (°C)]]),"")</f>
        <v>26.114432434473095</v>
      </c>
      <c r="DC65" s="193">
        <f>IFERROR(AVERAGEIF(RD[[#This Row],[IS1MT1 (°C)]:[IS7MT2 (°C)]],"&lt;&gt;0",RD[[#This Row],[IS1MT1 (°C)]:[IS7MT2 (°C)]]),"")</f>
        <v>34.734700454406607</v>
      </c>
      <c r="DD65" s="193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193">
        <f>IFERROR(AVERAGEIF(RD[[#This Row],[WS_Solar1_Avg (m/s)]:[IS7_WS_Solar1_Avg (m/s)]],"&lt;&gt;0",RD[[#This Row],[WS_Solar1_Avg (m/s)]:[IS7_WS_Solar1_Avg (m/s)]]),"")</f>
        <v>1.2448140090400837</v>
      </c>
      <c r="DG65" s="193">
        <f>IFERROR(AVERAGEIF(RD[[#This Row],[WS_Solar1_Max (m/s)]:[IS7_WS_Solar1_Max (m/s)]],"&lt;&gt;0",RD[[#This Row],[WS_Solar1_Max (m/s)]:[IS7_WS_Solar1_Max (m/s)]]),"")</f>
        <v>3.1274999999999999</v>
      </c>
      <c r="DH65" s="193">
        <f>SUM(RD[[#This Row],[IS1Inv1M1]:[IS4Inv4M2]])</f>
        <v>125409.40000000001</v>
      </c>
      <c r="DI65" s="194">
        <f>SUM(RD[[#This Row],[IS7Inv1M1]]+RD[[#This Row],[IS7Inv2M1]])</f>
        <v>7262.5</v>
      </c>
      <c r="DJ65" s="193">
        <f>SUM(RD[[#This Row],[IS5Inv1M1]:[IS5Inv2M2]])</f>
        <v>18147.7</v>
      </c>
      <c r="DK65" s="193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75">
        <f>SUM(RD[[#This Row],[IS12Inv1M1]:[IS12Inv1M4]])</f>
        <v>14433.7</v>
      </c>
      <c r="DO65" s="275">
        <f>SUM(RD[[#This Row],[IS13Inv1M1]:[IS13Inv2M2]])</f>
        <v>15459.8</v>
      </c>
      <c r="DP65" s="193">
        <f>SUM(RD[[#This Row],[O2R15]:[O2R26]])</f>
        <v>278512.5</v>
      </c>
      <c r="DQ65" s="158">
        <v>41304.300000000003</v>
      </c>
      <c r="DR65" s="162">
        <v>214.1</v>
      </c>
      <c r="DS65" s="158">
        <v>35842.5</v>
      </c>
      <c r="DT65" s="158">
        <v>226.8</v>
      </c>
      <c r="DU65" s="162">
        <v>41848.800000000003</v>
      </c>
      <c r="DV65" s="162">
        <v>406.8</v>
      </c>
      <c r="DW65" s="158">
        <v>9683.1</v>
      </c>
      <c r="DX65" s="162">
        <v>47.4</v>
      </c>
      <c r="DY65" s="162"/>
      <c r="DZ65" s="162"/>
      <c r="EA65" s="134">
        <v>97.7</v>
      </c>
      <c r="EB65" s="230">
        <v>132024336</v>
      </c>
      <c r="EC65" s="229">
        <v>956550.46400000004</v>
      </c>
      <c r="ED65" s="230">
        <v>1148</v>
      </c>
      <c r="EE65" s="230">
        <v>126298</v>
      </c>
      <c r="EF65" s="158">
        <v>183082.3</v>
      </c>
      <c r="EG65" s="158">
        <v>1868.8</v>
      </c>
      <c r="EH65" s="140">
        <f>IF((RD[[#This Row],[33 kV_F3_Ex
Incomer1]]-DQ64)*1000&lt;0,0,(RD[[#This Row],[33 kV_F3_Ex
Incomer1]]-DQ64)*1000)</f>
        <v>63600.000000005821</v>
      </c>
      <c r="EI65" s="140">
        <f>IF((RD[[#This Row],[34 kV_F3_Im
Incomer1]]-DR64)*1000&lt;0,0,(RD[[#This Row],[34 kV_F3_Im
Incomer1]]-DR64)*1000)</f>
        <v>199.99999999998863</v>
      </c>
      <c r="EJ65" s="140">
        <f>IF((RD[[#This Row],[33 kV_F4_Ex
Incomer2]]-DS64)*1000&lt;0,0,(RD[[#This Row],[33 kV_F4_Ex
Incomer2]]-DS64)*1000)</f>
        <v>60900.000000001455</v>
      </c>
      <c r="EK65" s="140">
        <f>IF((RD[[#This Row],[34 kV_F4_Im
Incomer2]]-DT64)*1000&lt;0,0,(RD[[#This Row],[34 kV_F4_Im
Incomer2]]-DT64)*1000)</f>
        <v>300.00000000001137</v>
      </c>
      <c r="EL65" s="140">
        <f>IF((RD[[#This Row],[33 kV_F5_Ex
Incomer3]]-DU64)*1000&lt;0,0,(RD[[#This Row],[33 kV_F5_Ex
Incomer3]]-DU64)*1000)</f>
        <v>78400.000000001455</v>
      </c>
      <c r="EM65" s="140">
        <f>IF((RD[[#This Row],[34 kV_F5_Im
Incomer3]]-DV64)*1000&lt;0,0,(RD[[#This Row],[34 kV_F5_Im
Incomer3]]-DV64)*1000)</f>
        <v>600.00000000002274</v>
      </c>
      <c r="EN65" s="140">
        <f>IF((RD[[#This Row],[33 kV_F6_Ex
Incomer4]]-DW64)*1000&lt;0,0,(RD[[#This Row],[33 kV_F6_Ex
Incomer4]]-DW64)*1000)</f>
        <v>72800.000000001091</v>
      </c>
      <c r="EO65" s="140">
        <f t="shared" si="163"/>
        <v>300.00000000001137</v>
      </c>
      <c r="EP65" s="140">
        <f>IF((RD[[#This Row],[33 kV_F7_Ex
Incomer5]]-DY64)*1000&lt;0,0,(RD[[#This Row],[33 kV_F7_Ex
Incomer5]]-DY64)*1000)</f>
        <v>0</v>
      </c>
      <c r="EQ65" s="140">
        <f>IF((RD[[#This Row],[33 kV_F7_Im
Incomer5]]-DZ64)*1000&lt;0,0,(RD[[#This Row],[33 kV_F7_Im
Incomer5]]-DZ64)*1000)</f>
        <v>0</v>
      </c>
      <c r="ER65" s="140">
        <f>IF((RD[[#This Row],[33 kV_Aux Trafo]]-EA64)*1000&lt;0,0,(RD[[#This Row],[33 kV_Aux Trafo]]-EA64)*1000)</f>
        <v>230.00000000000398</v>
      </c>
      <c r="ES65" s="152">
        <f>IF((RD[[#This Row],[33kV_OG1_Ex_]]-EB64)*1&lt;0,0,(RD[[#This Row],[33kV_OG1_Ex_]]-EB64)*1)</f>
        <v>276071</v>
      </c>
      <c r="ET65" s="140">
        <f>IF((RD[[#This Row],[33kV_OG1_Im]]-EC64)*1&lt;0,0,(RD[[#This Row],[33kV_OG1_Im]]-EC64)*1)</f>
        <v>2223.0400000000373</v>
      </c>
      <c r="EU65" s="140">
        <f>IF((RD[[#This Row],[132kV_TX1_EX]]-ED64)*720&lt;=0,"",(RD[[#This Row],[132kV_TX1_EX]]-ED64)*720)</f>
        <v>1440</v>
      </c>
      <c r="EV65" s="140">
        <f>IF((RD[[#This Row],[132 kV_Tx1_Im]]-EE64)*720&lt;=0,0,(RD[[#This Row],[132 kV_Tx1_Im]]-EE64)*720)</f>
        <v>198000</v>
      </c>
      <c r="EW65" s="140">
        <f>IF((RD[[#This Row],[132kV_L1_Ex]]-EF64)*720&lt;=0,0,(RD[[#This Row],[132kV_L1_Ex]]-EF64)*720)</f>
        <v>275111.99999998324</v>
      </c>
      <c r="EX65" s="140">
        <f>IF((RD[[#This Row],[132kV_L1_Im]]-EG64)*720&lt;=0,0,(RD[[#This Row],[132kV_L1_Im]]-EG64)*720)</f>
        <v>2735.9999999999673</v>
      </c>
      <c r="EY65" s="231">
        <f>IFERROR(RD[[#This Row],[33kV_OG1_Ex (MWh)]]+RD[[#This Row],[33kV_OG1_Im (MWh)]],"")</f>
        <v>278294.04000000004</v>
      </c>
      <c r="EZ65" s="142">
        <f>RD[[#This Row],[33kV_OG1_Ex (MWh)]]-RD[[#This Row],[33kV_OG1_Im (MWh)]]</f>
        <v>273847.95999999996</v>
      </c>
      <c r="FA65" s="142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32">
        <f>IFERROR((RD[[#This Row],[Sunset Time (POA&lt;20 W/m2)]]-RD[[#This Row],[Sunrise Time (POA&gt;20 W/m2)]])*24,0)</f>
        <v>11.433333333333334</v>
      </c>
      <c r="FD65" s="233">
        <v>120.7</v>
      </c>
      <c r="FE65" t="s">
        <v>281</v>
      </c>
      <c r="FG65" s="138" t="str">
        <f>IFERROR(RD[[#This Row],[E_AC (WPR)]]/RD[[#This Row],[E_DC (WPR)]],"")</f>
        <v/>
      </c>
    </row>
    <row r="66" spans="1:163">
      <c r="A66" s="130">
        <f t="shared" si="161"/>
        <v>45806</v>
      </c>
      <c r="B66" s="132">
        <f>YEAR(RD[[#This Row],[Date]])+IF(MONTH(RD[[#This Row],[Date]])&gt;=4,1,0)</f>
        <v>2026</v>
      </c>
      <c r="C66" s="132">
        <f>YEAR(RD[[#This Row],[Date]])</f>
        <v>2025</v>
      </c>
      <c r="D66" s="133">
        <f t="shared" si="164"/>
        <v>45778</v>
      </c>
      <c r="E66" s="132">
        <f>DAY(EOMONTH(RD[[#This Row],[Date]],0))</f>
        <v>31</v>
      </c>
      <c r="F66" s="146">
        <v>0.2638888888888889</v>
      </c>
      <c r="G66" s="156">
        <v>0.78263888888888888</v>
      </c>
      <c r="H66" s="121">
        <v>7148.8</v>
      </c>
      <c r="I66" s="257">
        <v>7100.8</v>
      </c>
      <c r="J66" s="121">
        <v>6770.9</v>
      </c>
      <c r="K66" s="121">
        <v>6893.5</v>
      </c>
      <c r="L66" s="121">
        <v>7066.2</v>
      </c>
      <c r="M66" s="121">
        <v>7237.1</v>
      </c>
      <c r="N66" s="121">
        <v>7047.4</v>
      </c>
      <c r="O66" s="121">
        <v>7547.7</v>
      </c>
      <c r="P66" s="121">
        <v>7160.1</v>
      </c>
      <c r="Q66" s="121">
        <v>6986.8</v>
      </c>
      <c r="R66" s="121">
        <v>7218.6</v>
      </c>
      <c r="S66" s="255">
        <v>7195.6</v>
      </c>
      <c r="T66" s="121">
        <v>7536.9</v>
      </c>
      <c r="U66" s="121">
        <v>7359.6</v>
      </c>
      <c r="V66" s="121">
        <v>7376.8</v>
      </c>
      <c r="W66" s="121">
        <v>7063.9</v>
      </c>
      <c r="X66" s="255">
        <v>9906.1</v>
      </c>
      <c r="Y66" s="192">
        <v>10854.5</v>
      </c>
      <c r="Z66" s="192">
        <v>9614.2000000000007</v>
      </c>
      <c r="AA66" s="192">
        <v>9975.4</v>
      </c>
      <c r="AB66" s="255">
        <v>10487.6</v>
      </c>
      <c r="AC66" s="192">
        <v>6733.2</v>
      </c>
      <c r="AD66" s="192">
        <v>10190.799999999999</v>
      </c>
      <c r="AE66" s="192">
        <v>10386.9</v>
      </c>
      <c r="AF66" s="255">
        <v>10185.4</v>
      </c>
      <c r="AG66" s="192">
        <v>10133.4</v>
      </c>
      <c r="AH66" s="192">
        <v>10119</v>
      </c>
      <c r="AI66" s="255">
        <v>10186.1</v>
      </c>
      <c r="AJ66" s="192">
        <v>8381.7000000000007</v>
      </c>
      <c r="AK66" s="255">
        <v>8629.7999999999993</v>
      </c>
      <c r="AL66" s="192">
        <v>8484.7000000000007</v>
      </c>
      <c r="AM66" s="255">
        <v>8544.2999999999993</v>
      </c>
      <c r="AN66" s="192">
        <v>8464.7000000000007</v>
      </c>
      <c r="AO66" s="255">
        <v>8776.7000000000007</v>
      </c>
      <c r="AP66" s="192">
        <v>8589.2000000000007</v>
      </c>
      <c r="AQ66" s="255">
        <v>8505.7999999999993</v>
      </c>
      <c r="AR66" s="192">
        <v>6945.2</v>
      </c>
      <c r="AS66" s="255">
        <v>7008.4</v>
      </c>
      <c r="AT66" s="192">
        <v>7010.8</v>
      </c>
      <c r="AU66" s="255">
        <v>6971.1</v>
      </c>
      <c r="AV66" s="258">
        <v>7155.7</v>
      </c>
      <c r="AW66" s="192">
        <v>7061</v>
      </c>
      <c r="AX66" s="252">
        <v>9740.2000000000007</v>
      </c>
      <c r="AY66" s="192">
        <v>10774.1</v>
      </c>
      <c r="AZ66" s="192">
        <v>7945.6</v>
      </c>
      <c r="BA66" s="192">
        <v>9633.4</v>
      </c>
      <c r="BB66" s="192">
        <v>10764</v>
      </c>
      <c r="BC66" s="192">
        <v>8939</v>
      </c>
      <c r="BD66" s="192">
        <v>6714.1</v>
      </c>
      <c r="BE66" s="192">
        <v>8891.2999999999993</v>
      </c>
      <c r="BF66" s="192">
        <v>9328</v>
      </c>
      <c r="BG66" s="192">
        <v>2202.6999999999998</v>
      </c>
      <c r="BH66" s="192">
        <v>0</v>
      </c>
      <c r="BI66" s="192">
        <v>0</v>
      </c>
      <c r="BJ66" s="192">
        <v>6204.1</v>
      </c>
      <c r="BK66" s="192">
        <v>4297.2</v>
      </c>
      <c r="BL66" s="192">
        <v>5628.8</v>
      </c>
      <c r="BM66" s="192">
        <v>5852.7</v>
      </c>
      <c r="BN66" s="192">
        <v>6333.4</v>
      </c>
      <c r="BO66" s="192">
        <v>6145.7</v>
      </c>
      <c r="BP66" s="192">
        <v>6546.3</v>
      </c>
      <c r="BQ66" s="192">
        <v>6556.6</v>
      </c>
      <c r="BR66" s="192">
        <v>7001.6</v>
      </c>
      <c r="BS66" s="192">
        <v>6810.7</v>
      </c>
      <c r="BT66" s="192">
        <v>7103.9</v>
      </c>
      <c r="BU66" s="192">
        <v>6962.5</v>
      </c>
      <c r="BV66" s="192"/>
      <c r="BW66" s="192"/>
      <c r="BX66" s="192"/>
      <c r="BY66" s="192"/>
      <c r="BZ66" s="192">
        <v>955.9</v>
      </c>
      <c r="CA66" s="192">
        <v>808</v>
      </c>
      <c r="CB66" s="192">
        <v>3809.4</v>
      </c>
      <c r="CC66" s="192">
        <v>6337</v>
      </c>
      <c r="CD66" s="250">
        <v>5.3235478999999915</v>
      </c>
      <c r="CE66" s="250">
        <v>5.4611858333333281</v>
      </c>
      <c r="CF66" s="250">
        <v>5.5170201833333241</v>
      </c>
      <c r="CG66" s="250">
        <v>5.5506481333333424</v>
      </c>
      <c r="CH66" s="250">
        <v>0.51712624999999968</v>
      </c>
      <c r="CI66" s="250">
        <v>0.66307354999999912</v>
      </c>
      <c r="CJ66" s="250">
        <v>0.81977708333333354</v>
      </c>
      <c r="CK66" s="250">
        <v>0.72870169999999945</v>
      </c>
      <c r="CL66" s="250">
        <v>30.046959737058359</v>
      </c>
      <c r="CM66" s="250">
        <v>29.942999999999998</v>
      </c>
      <c r="CN66" s="250">
        <v>43.790342645850437</v>
      </c>
      <c r="CO66" s="250">
        <v>41.069666393442574</v>
      </c>
      <c r="CP66" s="250">
        <v>73.678077239112753</v>
      </c>
      <c r="CQ66" s="250">
        <v>75.063786885246017</v>
      </c>
      <c r="CR66" s="250">
        <v>0</v>
      </c>
      <c r="CS66" s="250">
        <v>1.9672131147540971E-2</v>
      </c>
      <c r="CT66" s="250">
        <v>1.4556064092029568</v>
      </c>
      <c r="CU66" s="250">
        <v>1.531802459016393</v>
      </c>
      <c r="CV66" s="250">
        <v>3.105</v>
      </c>
      <c r="CW66" s="250">
        <v>3.516</v>
      </c>
      <c r="CX66" s="193">
        <f>IFERROR(AVERAGEIF(RD[[#This Row],[IS1POA1 (KWh/m2)]:[IS7POA2 (KWh/m2)]],"&lt;&gt;0",RD[[#This Row],[IS1POA1 (KWh/m2)]:[IS7POA2 (KWh/m2)]]),"")</f>
        <v>5.3923668666666593</v>
      </c>
      <c r="CY66" s="193">
        <f>IFERROR(AVERAGEIF(RD[[#This Row],[IS1GHI1 (KWh/m2)]:[IS7GHI2 (KWh/m2)]],"&lt;&gt;0",RD[[#This Row],[IS1GHI1 (KWh/m2)]:[IS7GHI2 (KWh/m2)]]),"")</f>
        <v>5.5338341583333328</v>
      </c>
      <c r="CZ66" s="193">
        <f>IFERROR(AVERAGEIF(RD[[#This Row],[IS1POA_BS1 (KWh/m2)]:[IS7POA_BS2 (KWh/m2)]],"&lt;&gt;0",RD[[#This Row],[IS1POA_BS1 (KWh/m2)]:[IS7POA_BS2 (KWh/m2)]]),"")</f>
        <v>0.59009989999999934</v>
      </c>
      <c r="DA66" s="193">
        <f>IFERROR(AVERAGEIF(RD[[#This Row],[IS1GHI_BS1 (KWh/m2)]:[IS1GHI_BS1 (KWh/m2)2]],"&lt;&gt;0",RD[[#This Row],[IS1GHI_BS1 (KWh/m2)]:[IS1GHI_BS1 (KWh/m2)2]]),"")</f>
        <v>0.77423939166666655</v>
      </c>
      <c r="DB66" s="193">
        <f>IFERROR(AVERAGEIF(RD[[#This Row],[IS1AT1 (°C)]:[IS7AT2 (°C)]],"&lt;&gt;0",RD[[#This Row],[IS1AT1 (°C)]:[IS7AT2 (°C)]]),"")</f>
        <v>29.994979868529178</v>
      </c>
      <c r="DC66" s="193">
        <f>IFERROR(AVERAGEIF(RD[[#This Row],[IS1MT1 (°C)]:[IS7MT2 (°C)]],"&lt;&gt;0",RD[[#This Row],[IS1MT1 (°C)]:[IS7MT2 (°C)]]),"")</f>
        <v>42.430004519646502</v>
      </c>
      <c r="DD66" s="193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193">
        <f>IFERROR(AVERAGEIF(RD[[#This Row],[WS_Solar1_Avg (m/s)]:[IS7_WS_Solar1_Avg (m/s)]],"&lt;&gt;0",RD[[#This Row],[WS_Solar1_Avg (m/s)]:[IS7_WS_Solar1_Avg (m/s)]]),"")</f>
        <v>1.493704434109675</v>
      </c>
      <c r="DG66" s="193">
        <f>IFERROR(AVERAGEIF(RD[[#This Row],[WS_Solar1_Max (m/s)]:[IS7_WS_Solar1_Max (m/s)]],"&lt;&gt;0",RD[[#This Row],[WS_Solar1_Max (m/s)]:[IS7_WS_Solar1_Max (m/s)]]),"")</f>
        <v>3.3105000000000002</v>
      </c>
      <c r="DH66" s="193">
        <f>SUM(RD[[#This Row],[IS1Inv1M1]:[IS4Inv4M2]])</f>
        <v>233483.3</v>
      </c>
      <c r="DI66" s="194">
        <f>SUM(RD[[#This Row],[IS7Inv1M1]]+RD[[#This Row],[IS7Inv2M1]])</f>
        <v>13953.599999999999</v>
      </c>
      <c r="DJ66" s="193">
        <f>SUM(RD[[#This Row],[IS5Inv1M1]:[IS5Inv2M2]])</f>
        <v>34040.5</v>
      </c>
      <c r="DK66" s="193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75">
        <f>SUM(RD[[#This Row],[IS12Inv1M1]:[IS12Inv1M4]])</f>
        <v>25582</v>
      </c>
      <c r="DO66" s="275">
        <f>SUM(RD[[#This Row],[IS13Inv1M1]:[IS13Inv2M2]])</f>
        <v>27878.699999999997</v>
      </c>
      <c r="DP66" s="193">
        <f>SUM(RD[[#This Row],[O2R15]:[O2R26]])</f>
        <v>516298.60000000003</v>
      </c>
      <c r="DQ66" s="158">
        <v>41422.300000000003</v>
      </c>
      <c r="DR66" s="162">
        <v>214.5</v>
      </c>
      <c r="DS66" s="158">
        <v>35953</v>
      </c>
      <c r="DT66" s="158">
        <v>227.1</v>
      </c>
      <c r="DU66" s="162">
        <v>41995.6</v>
      </c>
      <c r="DV66" s="162">
        <v>407.4</v>
      </c>
      <c r="DW66" s="158">
        <v>9812.7999999999993</v>
      </c>
      <c r="DX66" s="162">
        <v>48.2</v>
      </c>
      <c r="DY66" s="162"/>
      <c r="DZ66" s="162"/>
      <c r="EA66" s="134">
        <v>97.97</v>
      </c>
      <c r="EB66" s="230">
        <v>132531183</v>
      </c>
      <c r="EC66" s="229">
        <v>958852.16</v>
      </c>
      <c r="ED66" s="230">
        <v>1151</v>
      </c>
      <c r="EE66" s="230">
        <v>126803</v>
      </c>
      <c r="EF66" s="158">
        <v>183784.1</v>
      </c>
      <c r="EG66" s="158">
        <v>1872.7</v>
      </c>
      <c r="EH66" s="140">
        <f>IF((RD[[#This Row],[33 kV_F3_Ex
Incomer1]]-DQ65)*1000&lt;0,0,(RD[[#This Row],[33 kV_F3_Ex
Incomer1]]-DQ65)*1000)</f>
        <v>118000</v>
      </c>
      <c r="EI66" s="140">
        <f>IF((RD[[#This Row],[34 kV_F3_Im
Incomer1]]-DR65)*1000&lt;0,0,(RD[[#This Row],[34 kV_F3_Im
Incomer1]]-DR65)*1000)</f>
        <v>400.00000000000568</v>
      </c>
      <c r="EJ66" s="140">
        <f>IF((RD[[#This Row],[33 kV_F4_Ex
Incomer2]]-DS65)*1000&lt;0,0,(RD[[#This Row],[33 kV_F4_Ex
Incomer2]]-DS65)*1000)</f>
        <v>110500</v>
      </c>
      <c r="EK66" s="140">
        <f>IF((RD[[#This Row],[34 kV_F4_Im
Incomer2]]-DT65)*1000&lt;0,0,(RD[[#This Row],[34 kV_F4_Im
Incomer2]]-DT65)*1000)</f>
        <v>299.99999999998295</v>
      </c>
      <c r="EL66" s="140">
        <f>IF((RD[[#This Row],[33 kV_F5_Ex
Incomer3]]-DU65)*1000&lt;0,0,(RD[[#This Row],[33 kV_F5_Ex
Incomer3]]-DU65)*1000)</f>
        <v>146799.99999999563</v>
      </c>
      <c r="EM66" s="140">
        <f>IF((RD[[#This Row],[34 kV_F5_Im
Incomer3]]-DV65)*1000&lt;0,0,(RD[[#This Row],[34 kV_F5_Im
Incomer3]]-DV65)*1000)</f>
        <v>599.99999999996589</v>
      </c>
      <c r="EN66" s="140">
        <f>IF((RD[[#This Row],[33 kV_F6_Ex
Incomer4]]-DW65)*1000&lt;0,0,(RD[[#This Row],[33 kV_F6_Ex
Incomer4]]-DW65)*1000)</f>
        <v>129699.99999999891</v>
      </c>
      <c r="EO66" s="140">
        <f t="shared" si="163"/>
        <v>399.99999999997726</v>
      </c>
      <c r="EP66" s="140">
        <f>IF((RD[[#This Row],[33 kV_F7_Ex
Incomer5]]-DY65)*1000&lt;0,0,(RD[[#This Row],[33 kV_F7_Ex
Incomer5]]-DY65)*1000)</f>
        <v>0</v>
      </c>
      <c r="EQ66" s="140">
        <f>IF((RD[[#This Row],[33 kV_F7_Im
Incomer5]]-DZ65)*1000&lt;0,0,(RD[[#This Row],[33 kV_F7_Im
Incomer5]]-DZ65)*1000)</f>
        <v>0</v>
      </c>
      <c r="ER66" s="140">
        <f>IF((RD[[#This Row],[33 kV_Aux Trafo]]-EA65)*1000&lt;0,0,(RD[[#This Row],[33 kV_Aux Trafo]]-EA65)*1000)</f>
        <v>269.99999999999602</v>
      </c>
      <c r="ES66" s="152">
        <f>IF((RD[[#This Row],[33kV_OG1_Ex_]]-EB65)*1&lt;0,0,(RD[[#This Row],[33kV_OG1_Ex_]]-EB65)*1)</f>
        <v>506847</v>
      </c>
      <c r="ET66" s="140">
        <f>IF((RD[[#This Row],[33kV_OG1_Im]]-EC65)*1&lt;0,0,(RD[[#This Row],[33kV_OG1_Im]]-EC65)*1)</f>
        <v>2301.6959999999963</v>
      </c>
      <c r="EU66" s="140">
        <f>IF((RD[[#This Row],[132kV_TX1_EX]]-ED65)*720&lt;=0,"",(RD[[#This Row],[132kV_TX1_EX]]-ED65)*720)</f>
        <v>2160</v>
      </c>
      <c r="EV66" s="140">
        <f>IF((RD[[#This Row],[132 kV_Tx1_Im]]-EE65)*720&lt;=0,0,(RD[[#This Row],[132 kV_Tx1_Im]]-EE65)*720)</f>
        <v>363600</v>
      </c>
      <c r="EW66" s="140">
        <f>IF((RD[[#This Row],[132kV_L1_Ex]]-EF65)*720&lt;=0,0,(RD[[#This Row],[132kV_L1_Ex]]-EF65)*720)</f>
        <v>505296.00000001257</v>
      </c>
      <c r="EX66" s="140">
        <f>IF((RD[[#This Row],[132kV_L1_Im]]-EG65)*720&lt;=0,0,(RD[[#This Row],[132kV_L1_Im]]-EG65)*720)</f>
        <v>2808.0000000000655</v>
      </c>
      <c r="EY66" s="231">
        <f>IFERROR(RD[[#This Row],[33kV_OG1_Ex (MWh)]]+RD[[#This Row],[33kV_OG1_Im (MWh)]],"")</f>
        <v>509148.696</v>
      </c>
      <c r="EZ66" s="142">
        <f>RD[[#This Row],[33kV_OG1_Ex (MWh)]]-RD[[#This Row],[33kV_OG1_Im (MWh)]]</f>
        <v>504545.304</v>
      </c>
      <c r="FA66" s="142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32">
        <f>IFERROR((RD[[#This Row],[Sunset Time (POA&lt;20 W/m2)]]-RD[[#This Row],[Sunrise Time (POA&gt;20 W/m2)]])*24,0)</f>
        <v>12.450000000000001</v>
      </c>
      <c r="FD66" s="233">
        <v>120.7</v>
      </c>
      <c r="FE66" t="s">
        <v>284</v>
      </c>
      <c r="FG66" s="138" t="str">
        <f>IFERROR(RD[[#This Row],[E_AC (WPR)]]/RD[[#This Row],[E_DC (WPR)]],"")</f>
        <v/>
      </c>
    </row>
    <row r="67" spans="1:163">
      <c r="A67" s="130">
        <f t="shared" si="161"/>
        <v>45807</v>
      </c>
      <c r="B67" s="132">
        <f>YEAR(RD[[#This Row],[Date]])+IF(MONTH(RD[[#This Row],[Date]])&gt;=4,1,0)</f>
        <v>2026</v>
      </c>
      <c r="C67" s="132">
        <f>YEAR(RD[[#This Row],[Date]])</f>
        <v>2025</v>
      </c>
      <c r="D67" s="133">
        <f t="shared" si="164"/>
        <v>45778</v>
      </c>
      <c r="E67" s="132">
        <f>DAY(EOMONTH(RD[[#This Row],[Date]],0))</f>
        <v>31</v>
      </c>
      <c r="F67" s="146">
        <v>0.25763888888888886</v>
      </c>
      <c r="G67" s="156">
        <v>0.77430555555555558</v>
      </c>
      <c r="H67" s="121">
        <v>7294.7</v>
      </c>
      <c r="I67" s="257">
        <v>7173.3</v>
      </c>
      <c r="J67" s="121">
        <v>6805.1</v>
      </c>
      <c r="K67" s="121">
        <v>6962.7</v>
      </c>
      <c r="L67" s="121">
        <v>7157.7</v>
      </c>
      <c r="M67" s="121">
        <v>7367.4</v>
      </c>
      <c r="N67" s="121">
        <v>7145.4</v>
      </c>
      <c r="O67" s="121">
        <v>7785.5</v>
      </c>
      <c r="P67" s="121">
        <v>7279</v>
      </c>
      <c r="Q67" s="121">
        <v>7103.5</v>
      </c>
      <c r="R67" s="121">
        <v>7409.9</v>
      </c>
      <c r="S67" s="255">
        <v>7392.4</v>
      </c>
      <c r="T67" s="121">
        <v>7679.7</v>
      </c>
      <c r="U67" s="121">
        <v>7468.7</v>
      </c>
      <c r="V67" s="121">
        <v>7493.8</v>
      </c>
      <c r="W67" s="121">
        <v>7094.4</v>
      </c>
      <c r="X67" s="255">
        <v>9986.1</v>
      </c>
      <c r="Y67" s="192">
        <v>11226.7</v>
      </c>
      <c r="Z67" s="192">
        <v>9644.5</v>
      </c>
      <c r="AA67" s="192">
        <v>10080.1</v>
      </c>
      <c r="AB67" s="255">
        <v>11079.1</v>
      </c>
      <c r="AC67" s="192">
        <v>6782.1</v>
      </c>
      <c r="AD67" s="192">
        <v>10306.4</v>
      </c>
      <c r="AE67" s="192">
        <v>10516</v>
      </c>
      <c r="AF67" s="255">
        <v>10265.700000000001</v>
      </c>
      <c r="AG67" s="192">
        <v>10162.6</v>
      </c>
      <c r="AH67" s="192">
        <v>10234.9</v>
      </c>
      <c r="AI67" s="255">
        <v>10316.1</v>
      </c>
      <c r="AJ67" s="192">
        <v>8415.9</v>
      </c>
      <c r="AK67" s="255">
        <v>8648.2000000000007</v>
      </c>
      <c r="AL67" s="192">
        <v>8476</v>
      </c>
      <c r="AM67" s="255">
        <v>8519.5</v>
      </c>
      <c r="AN67" s="192">
        <v>8507.6</v>
      </c>
      <c r="AO67" s="255">
        <v>8823.4</v>
      </c>
      <c r="AP67" s="192">
        <v>8605.1</v>
      </c>
      <c r="AQ67" s="255">
        <v>8544</v>
      </c>
      <c r="AR67" s="192">
        <v>6988.4</v>
      </c>
      <c r="AS67" s="255">
        <v>7056.7</v>
      </c>
      <c r="AT67" s="192">
        <v>7036</v>
      </c>
      <c r="AU67" s="255">
        <v>6952.5</v>
      </c>
      <c r="AV67" s="258">
        <v>7145.5</v>
      </c>
      <c r="AW67" s="192">
        <v>7078</v>
      </c>
      <c r="AX67" s="252">
        <v>9753.5</v>
      </c>
      <c r="AY67" s="192">
        <v>10885.4</v>
      </c>
      <c r="AZ67" s="192">
        <v>7872.9</v>
      </c>
      <c r="BA67" s="192">
        <v>9602.4</v>
      </c>
      <c r="BB67" s="192">
        <v>9838.4</v>
      </c>
      <c r="BC67" s="192">
        <v>8251.1</v>
      </c>
      <c r="BD67" s="192">
        <v>6939.3</v>
      </c>
      <c r="BE67" s="192">
        <v>9305.6</v>
      </c>
      <c r="BF67" s="192">
        <v>9347</v>
      </c>
      <c r="BG67" s="192">
        <v>2234</v>
      </c>
      <c r="BH67" s="192">
        <v>0</v>
      </c>
      <c r="BI67" s="192">
        <v>0</v>
      </c>
      <c r="BJ67" s="192">
        <v>6619.2</v>
      </c>
      <c r="BK67" s="192">
        <v>4625.8</v>
      </c>
      <c r="BL67" s="192">
        <v>6124.5</v>
      </c>
      <c r="BM67" s="192">
        <v>6253.2</v>
      </c>
      <c r="BN67" s="192">
        <v>6964.7</v>
      </c>
      <c r="BO67" s="192">
        <v>6703.6</v>
      </c>
      <c r="BP67" s="192">
        <v>7219.7</v>
      </c>
      <c r="BQ67" s="192">
        <v>7115</v>
      </c>
      <c r="BR67" s="192">
        <v>7468.4</v>
      </c>
      <c r="BS67" s="192">
        <v>7634.2</v>
      </c>
      <c r="BT67" s="192">
        <v>7578.3</v>
      </c>
      <c r="BU67" s="192">
        <v>7720</v>
      </c>
      <c r="BV67" s="192"/>
      <c r="BW67" s="192"/>
      <c r="BX67" s="192"/>
      <c r="BY67" s="192"/>
      <c r="BZ67" s="192">
        <v>1011.2</v>
      </c>
      <c r="CA67" s="192">
        <v>855.4</v>
      </c>
      <c r="CB67" s="192">
        <v>4014.6</v>
      </c>
      <c r="CC67" s="192">
        <v>6703.2</v>
      </c>
      <c r="CD67" s="250">
        <v>5.330911216666661</v>
      </c>
      <c r="CE67" s="250">
        <v>5.4535110666666657</v>
      </c>
      <c r="CF67" s="250">
        <v>5.5902073500000027</v>
      </c>
      <c r="CG67" s="250">
        <v>5.5915883833333346</v>
      </c>
      <c r="CH67" s="250">
        <v>0.57203045000000086</v>
      </c>
      <c r="CI67" s="250">
        <v>0.70083821666666613</v>
      </c>
      <c r="CJ67" s="250">
        <v>0.89228134999999975</v>
      </c>
      <c r="CK67" s="250">
        <v>0.76178683333333352</v>
      </c>
      <c r="CL67" s="250">
        <v>30.565907421013883</v>
      </c>
      <c r="CM67" s="250">
        <v>30.685205278592367</v>
      </c>
      <c r="CN67" s="250">
        <v>42.308822189566492</v>
      </c>
      <c r="CO67" s="250">
        <v>40.179974340175953</v>
      </c>
      <c r="CP67" s="250">
        <v>66.941623806025021</v>
      </c>
      <c r="CQ67" s="250">
        <v>68.59733137829916</v>
      </c>
      <c r="CR67" s="250">
        <v>0</v>
      </c>
      <c r="CS67" s="250">
        <v>0</v>
      </c>
      <c r="CT67" s="250">
        <v>1.620958853783981</v>
      </c>
      <c r="CU67" s="250">
        <v>1.7127382697947215</v>
      </c>
      <c r="CV67" s="250">
        <v>3.0569999999999999</v>
      </c>
      <c r="CW67" s="250">
        <v>3.492</v>
      </c>
      <c r="CX67" s="193">
        <f>IFERROR(AVERAGEIF(RD[[#This Row],[IS1POA1 (KWh/m2)]:[IS7POA2 (KWh/m2)]],"&lt;&gt;0",RD[[#This Row],[IS1POA1 (KWh/m2)]:[IS7POA2 (KWh/m2)]]),"")</f>
        <v>5.3922111416666638</v>
      </c>
      <c r="CY67" s="193">
        <f>IFERROR(AVERAGEIF(RD[[#This Row],[IS1GHI1 (KWh/m2)]:[IS7GHI2 (KWh/m2)]],"&lt;&gt;0",RD[[#This Row],[IS1GHI1 (KWh/m2)]:[IS7GHI2 (KWh/m2)]]),"")</f>
        <v>5.5908978666666691</v>
      </c>
      <c r="CZ67" s="193">
        <f>IFERROR(AVERAGEIF(RD[[#This Row],[IS1POA_BS1 (KWh/m2)]:[IS7POA_BS2 (KWh/m2)]],"&lt;&gt;0",RD[[#This Row],[IS1POA_BS1 (KWh/m2)]:[IS7POA_BS2 (KWh/m2)]]),"")</f>
        <v>0.63643433333333355</v>
      </c>
      <c r="DA67" s="193">
        <f>IFERROR(AVERAGEIF(RD[[#This Row],[IS1GHI_BS1 (KWh/m2)]:[IS1GHI_BS1 (KWh/m2)2]],"&lt;&gt;0",RD[[#This Row],[IS1GHI_BS1 (KWh/m2)]:[IS1GHI_BS1 (KWh/m2)2]]),"")</f>
        <v>0.82703409166666664</v>
      </c>
      <c r="DB67" s="193">
        <f>IFERROR(AVERAGEIF(RD[[#This Row],[IS1AT1 (°C)]:[IS7AT2 (°C)]],"&lt;&gt;0",RD[[#This Row],[IS1AT1 (°C)]:[IS7AT2 (°C)]]),"")</f>
        <v>30.625556349803126</v>
      </c>
      <c r="DC67" s="193">
        <f>IFERROR(AVERAGEIF(RD[[#This Row],[IS1MT1 (°C)]:[IS7MT2 (°C)]],"&lt;&gt;0",RD[[#This Row],[IS1MT1 (°C)]:[IS7MT2 (°C)]]),"")</f>
        <v>41.244398264871222</v>
      </c>
      <c r="DD67" s="193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193">
        <f>IFERROR(AVERAGEIF(RD[[#This Row],[WS_Solar1_Avg (m/s)]:[IS7_WS_Solar1_Avg (m/s)]],"&lt;&gt;0",RD[[#This Row],[WS_Solar1_Avg (m/s)]:[IS7_WS_Solar1_Avg (m/s)]]),"")</f>
        <v>1.6668485617893514</v>
      </c>
      <c r="DG67" s="193">
        <f>IFERROR(AVERAGEIF(RD[[#This Row],[WS_Solar1_Max (m/s)]:[IS7_WS_Solar1_Max (m/s)]],"&lt;&gt;0",RD[[#This Row],[WS_Solar1_Max (m/s)]:[IS7_WS_Solar1_Max (m/s)]]),"")</f>
        <v>3.2744999999999997</v>
      </c>
      <c r="DH67" s="193">
        <f>SUM(RD[[#This Row],[IS1Inv1M1]:[IS4Inv4M2]])</f>
        <v>237213.50000000003</v>
      </c>
      <c r="DI67" s="194">
        <f>SUM(RD[[#This Row],[IS7Inv1M1]]+RD[[#This Row],[IS7Inv2M1]])</f>
        <v>14045.099999999999</v>
      </c>
      <c r="DJ67" s="193">
        <f>SUM(RD[[#This Row],[IS5Inv1M1]:[IS5Inv2M2]])</f>
        <v>34059.599999999999</v>
      </c>
      <c r="DK67" s="193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75">
        <f>SUM(RD[[#This Row],[IS12Inv1M1]:[IS12Inv1M4]])</f>
        <v>28003</v>
      </c>
      <c r="DO67" s="275">
        <f>SUM(RD[[#This Row],[IS13Inv1M1]:[IS13Inv2M2]])</f>
        <v>30400.899999999998</v>
      </c>
      <c r="DP67" s="193">
        <f>SUM(RD[[#This Row],[O2R15]:[O2R26]])</f>
        <v>526650.9</v>
      </c>
      <c r="DQ67" s="158">
        <v>41542.1</v>
      </c>
      <c r="DR67" s="162">
        <v>214.9</v>
      </c>
      <c r="DS67" s="158">
        <v>36065.599999999999</v>
      </c>
      <c r="DT67" s="158">
        <v>227.5</v>
      </c>
      <c r="DU67" s="162">
        <v>42142.8</v>
      </c>
      <c r="DV67" s="162">
        <v>408.2</v>
      </c>
      <c r="DW67" s="158">
        <v>9951.7999999999993</v>
      </c>
      <c r="DX67" s="162">
        <v>49</v>
      </c>
      <c r="DY67" s="162"/>
      <c r="DZ67" s="162"/>
      <c r="EA67" s="134">
        <v>98.27</v>
      </c>
      <c r="EB67" s="230">
        <v>133051539</v>
      </c>
      <c r="EC67" s="229">
        <v>961587.52</v>
      </c>
      <c r="ED67" s="230">
        <v>1155</v>
      </c>
      <c r="EE67" s="230">
        <v>127321</v>
      </c>
      <c r="EF67" s="158">
        <v>184504.5</v>
      </c>
      <c r="EG67" s="158">
        <v>1877.3</v>
      </c>
      <c r="EH67" s="140">
        <f>IF((RD[[#This Row],[33 kV_F3_Ex
Incomer1]]-DQ66)*1000&lt;0,0,(RD[[#This Row],[33 kV_F3_Ex
Incomer1]]-DQ66)*1000)</f>
        <v>119799.99999999563</v>
      </c>
      <c r="EI67" s="140">
        <f>IF((RD[[#This Row],[34 kV_F3_Im
Incomer1]]-DR66)*1000&lt;0,0,(RD[[#This Row],[34 kV_F3_Im
Incomer1]]-DR66)*1000)</f>
        <v>400.00000000000568</v>
      </c>
      <c r="EJ67" s="140">
        <f>IF((RD[[#This Row],[33 kV_F4_Ex
Incomer2]]-DS66)*1000&lt;0,0,(RD[[#This Row],[33 kV_F4_Ex
Incomer2]]-DS66)*1000)</f>
        <v>112599.99999999854</v>
      </c>
      <c r="EK67" s="140">
        <f>IF((RD[[#This Row],[34 kV_F4_Im
Incomer2]]-DT66)*1000&lt;0,0,(RD[[#This Row],[34 kV_F4_Im
Incomer2]]-DT66)*1000)</f>
        <v>400.00000000000568</v>
      </c>
      <c r="EL67" s="140">
        <f>IF((RD[[#This Row],[33 kV_F5_Ex
Incomer3]]-DU66)*1000&lt;0,0,(RD[[#This Row],[33 kV_F5_Ex
Incomer3]]-DU66)*1000)</f>
        <v>147200.00000000437</v>
      </c>
      <c r="EM67" s="140">
        <f>IF((RD[[#This Row],[34 kV_F5_Im
Incomer3]]-DV66)*1000&lt;0,0,(RD[[#This Row],[34 kV_F5_Im
Incomer3]]-DV66)*1000)</f>
        <v>800.00000000001137</v>
      </c>
      <c r="EN67" s="140">
        <f>IF((RD[[#This Row],[33 kV_F6_Ex
Incomer4]]-DW66)*1000&lt;0,0,(RD[[#This Row],[33 kV_F6_Ex
Incomer4]]-DW66)*1000)</f>
        <v>139000</v>
      </c>
      <c r="EO67" s="140">
        <f t="shared" si="163"/>
        <v>300.00000000001137</v>
      </c>
      <c r="EP67" s="140">
        <f>IF((RD[[#This Row],[33 kV_F7_Ex
Incomer5]]-DY66)*1000&lt;0,0,(RD[[#This Row],[33 kV_F7_Ex
Incomer5]]-DY66)*1000)</f>
        <v>0</v>
      </c>
      <c r="EQ67" s="140">
        <f>IF((RD[[#This Row],[33 kV_F7_Im
Incomer5]]-DZ66)*1000&lt;0,0,(RD[[#This Row],[33 kV_F7_Im
Incomer5]]-DZ66)*1000)</f>
        <v>0</v>
      </c>
      <c r="ER67" s="140">
        <f>IF((RD[[#This Row],[33 kV_Aux Trafo]]-EA66)*1000&lt;0,0,(RD[[#This Row],[33 kV_Aux Trafo]]-EA66)*1000)</f>
        <v>299.99999999999716</v>
      </c>
      <c r="ES67" s="152">
        <f>IF((RD[[#This Row],[33kV_OG1_Ex_]]-EB66)*1&lt;0,0,(RD[[#This Row],[33kV_OG1_Ex_]]-EB66)*1)</f>
        <v>520356</v>
      </c>
      <c r="ET67" s="140">
        <f>IF((RD[[#This Row],[33kV_OG1_Im]]-EC66)*1&lt;0,0,(RD[[#This Row],[33kV_OG1_Im]]-EC66)*1)</f>
        <v>2735.359999999986</v>
      </c>
      <c r="EU67" s="140">
        <f>IF((RD[[#This Row],[132kV_TX1_EX]]-ED66)*720&lt;=0,"",(RD[[#This Row],[132kV_TX1_EX]]-ED66)*720)</f>
        <v>2880</v>
      </c>
      <c r="EV67" s="140">
        <f>IF((RD[[#This Row],[132 kV_Tx1_Im]]-EE66)*720&lt;=0,0,(RD[[#This Row],[132 kV_Tx1_Im]]-EE66)*720)</f>
        <v>372960</v>
      </c>
      <c r="EW67" s="140">
        <f>IF((RD[[#This Row],[132kV_L1_Ex]]-EF66)*720&lt;=0,0,(RD[[#This Row],[132kV_L1_Ex]]-EF66)*720)</f>
        <v>518687.99999999581</v>
      </c>
      <c r="EX67" s="140">
        <f>IF((RD[[#This Row],[132kV_L1_Im]]-EG66)*720&lt;=0,0,(RD[[#This Row],[132kV_L1_Im]]-EG66)*720)</f>
        <v>3311.9999999999345</v>
      </c>
      <c r="EY67" s="231">
        <f>IFERROR(RD[[#This Row],[33kV_OG1_Ex (MWh)]]+RD[[#This Row],[33kV_OG1_Im (MWh)]],"")</f>
        <v>523091.36</v>
      </c>
      <c r="EZ67" s="142">
        <f>RD[[#This Row],[33kV_OG1_Ex (MWh)]]-RD[[#This Row],[33kV_OG1_Im (MWh)]]</f>
        <v>517620.64</v>
      </c>
      <c r="FA67" s="142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32">
        <f>IFERROR((RD[[#This Row],[Sunset Time (POA&lt;20 W/m2)]]-RD[[#This Row],[Sunrise Time (POA&gt;20 W/m2)]])*24,0)</f>
        <v>12.400000000000002</v>
      </c>
      <c r="FD67" s="233">
        <v>120.7</v>
      </c>
      <c r="FE67" t="s">
        <v>293</v>
      </c>
      <c r="FG67" s="138" t="str">
        <f>IFERROR(RD[[#This Row],[E_AC (WPR)]]/RD[[#This Row],[E_DC (WPR)]],"")</f>
        <v/>
      </c>
    </row>
    <row r="68" spans="1:163">
      <c r="A68" s="130">
        <f t="shared" si="161"/>
        <v>45808</v>
      </c>
      <c r="B68" s="132">
        <f>YEAR(RD[[#This Row],[Date]])+IF(MONTH(RD[[#This Row],[Date]])&gt;=4,1,0)</f>
        <v>2026</v>
      </c>
      <c r="C68" s="132">
        <f>YEAR(RD[[#This Row],[Date]])</f>
        <v>2025</v>
      </c>
      <c r="D68" s="133">
        <f t="shared" si="164"/>
        <v>45778</v>
      </c>
      <c r="E68" s="132">
        <f>DAY(EOMONTH(RD[[#This Row],[Date]],0))</f>
        <v>31</v>
      </c>
      <c r="F68" s="146">
        <v>0.24930555555555556</v>
      </c>
      <c r="G68" s="156">
        <v>0.78402777777777777</v>
      </c>
      <c r="H68" s="121">
        <v>9249.1</v>
      </c>
      <c r="I68" s="257">
        <v>9173.6</v>
      </c>
      <c r="J68" s="121">
        <v>8741.2000000000007</v>
      </c>
      <c r="K68" s="121">
        <v>8818.6</v>
      </c>
      <c r="L68" s="121">
        <v>9072</v>
      </c>
      <c r="M68" s="121">
        <v>9302.9</v>
      </c>
      <c r="N68" s="121">
        <v>9080</v>
      </c>
      <c r="O68" s="121">
        <v>9704.7999999999993</v>
      </c>
      <c r="P68" s="121">
        <v>9103.7000000000007</v>
      </c>
      <c r="Q68" s="121">
        <v>8943.7000000000007</v>
      </c>
      <c r="R68" s="121">
        <v>9237.5</v>
      </c>
      <c r="S68" s="255">
        <v>9211.2000000000007</v>
      </c>
      <c r="T68" s="121">
        <v>9551.7000000000007</v>
      </c>
      <c r="U68" s="121">
        <v>9287.1</v>
      </c>
      <c r="V68" s="121">
        <v>9369.1</v>
      </c>
      <c r="W68" s="121">
        <v>9115</v>
      </c>
      <c r="X68" s="255">
        <v>12638.3</v>
      </c>
      <c r="Y68" s="192">
        <v>13551.6</v>
      </c>
      <c r="Z68" s="192">
        <v>12403.7</v>
      </c>
      <c r="AA68" s="192">
        <v>12829.4</v>
      </c>
      <c r="AB68" s="255">
        <v>13639.9</v>
      </c>
      <c r="AC68" s="192">
        <v>8445</v>
      </c>
      <c r="AD68" s="192">
        <v>12908.1</v>
      </c>
      <c r="AE68" s="192">
        <v>13124.8</v>
      </c>
      <c r="AF68" s="255">
        <v>12819.9</v>
      </c>
      <c r="AG68" s="192">
        <v>12746.5</v>
      </c>
      <c r="AH68" s="192">
        <v>12835.6</v>
      </c>
      <c r="AI68" s="255">
        <v>12911.3</v>
      </c>
      <c r="AJ68" s="192">
        <v>10680.5</v>
      </c>
      <c r="AK68" s="255">
        <v>10976.6</v>
      </c>
      <c r="AL68" s="192">
        <v>10784.4</v>
      </c>
      <c r="AM68" s="255">
        <v>10871.4</v>
      </c>
      <c r="AN68" s="192">
        <v>10782.1</v>
      </c>
      <c r="AO68" s="255">
        <v>11157.5</v>
      </c>
      <c r="AP68" s="192">
        <v>10938.8</v>
      </c>
      <c r="AQ68" s="255">
        <v>10821</v>
      </c>
      <c r="AR68" s="192">
        <v>8851.6</v>
      </c>
      <c r="AS68" s="255">
        <v>8913.6</v>
      </c>
      <c r="AT68" s="192">
        <v>8926.7000000000007</v>
      </c>
      <c r="AU68" s="255">
        <v>8871.5</v>
      </c>
      <c r="AV68" s="258">
        <v>9080</v>
      </c>
      <c r="AW68" s="192">
        <v>8968</v>
      </c>
      <c r="AX68" s="252">
        <v>12487.5</v>
      </c>
      <c r="AY68" s="192">
        <v>13797.9</v>
      </c>
      <c r="AZ68" s="192">
        <v>10159.9</v>
      </c>
      <c r="BA68" s="192">
        <v>12263.7</v>
      </c>
      <c r="BB68" s="192">
        <v>12696.8</v>
      </c>
      <c r="BC68" s="192">
        <v>11047.4</v>
      </c>
      <c r="BD68" s="192">
        <v>9121.7000000000007</v>
      </c>
      <c r="BE68" s="192">
        <v>12041.5</v>
      </c>
      <c r="BF68" s="192">
        <v>11320</v>
      </c>
      <c r="BG68" s="192">
        <v>2375</v>
      </c>
      <c r="BH68" s="192">
        <v>255.7</v>
      </c>
      <c r="BI68" s="192">
        <v>241.7</v>
      </c>
      <c r="BJ68" s="192">
        <v>8675.4</v>
      </c>
      <c r="BK68" s="192">
        <v>6106.3</v>
      </c>
      <c r="BL68" s="192">
        <v>8018.1</v>
      </c>
      <c r="BM68" s="192">
        <v>8112.2</v>
      </c>
      <c r="BN68" s="192">
        <v>8816.9</v>
      </c>
      <c r="BO68" s="192">
        <v>8633.1</v>
      </c>
      <c r="BP68" s="192">
        <v>9042.9</v>
      </c>
      <c r="BQ68" s="192">
        <v>9043.1</v>
      </c>
      <c r="BR68" s="192">
        <v>9719.7999999999993</v>
      </c>
      <c r="BS68" s="192">
        <v>9881.5</v>
      </c>
      <c r="BT68" s="192">
        <v>9828.7999999999993</v>
      </c>
      <c r="BU68" s="192">
        <v>10074.799999999999</v>
      </c>
      <c r="BV68" s="192"/>
      <c r="BW68" s="192"/>
      <c r="BX68" s="192"/>
      <c r="BY68" s="192"/>
      <c r="BZ68" s="192">
        <v>1365.9</v>
      </c>
      <c r="CA68" s="192">
        <v>1159.2</v>
      </c>
      <c r="CB68" s="192">
        <v>5280.8</v>
      </c>
      <c r="CC68" s="192">
        <v>8779.6</v>
      </c>
      <c r="CD68" s="250">
        <v>6.9960679499999925</v>
      </c>
      <c r="CE68" s="250">
        <v>7.0286690833333321</v>
      </c>
      <c r="CF68" s="250">
        <v>7.3065271333333328</v>
      </c>
      <c r="CG68" s="250">
        <v>7.2285001833333293</v>
      </c>
      <c r="CH68" s="250">
        <v>0.79905140000000052</v>
      </c>
      <c r="CI68" s="250">
        <v>0.92462298333333259</v>
      </c>
      <c r="CJ68" s="250">
        <v>1.1971333499999988</v>
      </c>
      <c r="CK68" s="250">
        <v>1.0138520333333327</v>
      </c>
      <c r="CL68" s="250">
        <v>31.195616547334879</v>
      </c>
      <c r="CM68" s="250">
        <v>31.343309523809531</v>
      </c>
      <c r="CN68" s="250">
        <v>44.791287191726347</v>
      </c>
      <c r="CO68" s="250">
        <v>42.263429365079325</v>
      </c>
      <c r="CP68" s="250">
        <v>55.48245027844078</v>
      </c>
      <c r="CQ68" s="250">
        <v>56.698825396825356</v>
      </c>
      <c r="CR68" s="250">
        <v>0</v>
      </c>
      <c r="CS68" s="250">
        <v>0</v>
      </c>
      <c r="CT68" s="250">
        <v>1.8219498806682597</v>
      </c>
      <c r="CU68" s="250">
        <v>1.9286833333333349</v>
      </c>
      <c r="CV68" s="250">
        <v>3.6419999999999999</v>
      </c>
      <c r="CW68" s="250">
        <v>4.1130000000000004</v>
      </c>
      <c r="CX68" s="193">
        <f>IFERROR(AVERAGEIF(RD[[#This Row],[IS1POA1 (KWh/m2)]:[IS7POA2 (KWh/m2)]],"&lt;&gt;0",RD[[#This Row],[IS1POA1 (KWh/m2)]:[IS7POA2 (KWh/m2)]]),"")</f>
        <v>7.0123685166666618</v>
      </c>
      <c r="CY68" s="193">
        <f>IFERROR(AVERAGEIF(RD[[#This Row],[IS1GHI1 (KWh/m2)]:[IS7GHI2 (KWh/m2)]],"&lt;&gt;0",RD[[#This Row],[IS1GHI1 (KWh/m2)]:[IS7GHI2 (KWh/m2)]]),"")</f>
        <v>7.2675136583333311</v>
      </c>
      <c r="CZ68" s="193">
        <f>IFERROR(AVERAGEIF(RD[[#This Row],[IS1POA_BS1 (KWh/m2)]:[IS7POA_BS2 (KWh/m2)]],"&lt;&gt;0",RD[[#This Row],[IS1POA_BS1 (KWh/m2)]:[IS7POA_BS2 (KWh/m2)]]),"")</f>
        <v>0.8618371916666665</v>
      </c>
      <c r="DA68" s="193">
        <f>IFERROR(AVERAGEIF(RD[[#This Row],[IS1GHI_BS1 (KWh/m2)]:[IS1GHI_BS1 (KWh/m2)2]],"&lt;&gt;0",RD[[#This Row],[IS1GHI_BS1 (KWh/m2)]:[IS1GHI_BS1 (KWh/m2)2]]),"")</f>
        <v>1.1054926916666656</v>
      </c>
      <c r="DB68" s="193">
        <f>IFERROR(AVERAGEIF(RD[[#This Row],[IS1AT1 (°C)]:[IS7AT2 (°C)]],"&lt;&gt;0",RD[[#This Row],[IS1AT1 (°C)]:[IS7AT2 (°C)]]),"")</f>
        <v>31.269463035572205</v>
      </c>
      <c r="DC68" s="193">
        <f>IFERROR(AVERAGEIF(RD[[#This Row],[IS1MT1 (°C)]:[IS7MT2 (°C)]],"&lt;&gt;0",RD[[#This Row],[IS1MT1 (°C)]:[IS7MT2 (°C)]]),"")</f>
        <v>43.527358278402836</v>
      </c>
      <c r="DD68" s="193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193">
        <f>IFERROR(AVERAGEIF(RD[[#This Row],[WS_Solar1_Avg (m/s)]:[IS7_WS_Solar1_Avg (m/s)]],"&lt;&gt;0",RD[[#This Row],[WS_Solar1_Avg (m/s)]:[IS7_WS_Solar1_Avg (m/s)]]),"")</f>
        <v>1.8753166070007974</v>
      </c>
      <c r="DG68" s="193">
        <f>IFERROR(AVERAGEIF(RD[[#This Row],[WS_Solar1_Max (m/s)]:[IS7_WS_Solar1_Max (m/s)]],"&lt;&gt;0",RD[[#This Row],[WS_Solar1_Max (m/s)]:[IS7_WS_Solar1_Max (m/s)]]),"")</f>
        <v>3.8775000000000004</v>
      </c>
      <c r="DH68" s="193">
        <f>SUM(RD[[#This Row],[IS1Inv1M1]:[IS4Inv4M2]])</f>
        <v>297815.29999999993</v>
      </c>
      <c r="DI68" s="194">
        <f>SUM(RD[[#This Row],[IS7Inv1M1]]+RD[[#This Row],[IS7Inv2M1]])</f>
        <v>17765.2</v>
      </c>
      <c r="DJ68" s="193">
        <f>SUM(RD[[#This Row],[IS5Inv1M1]:[IS5Inv2M2]])</f>
        <v>43312.9</v>
      </c>
      <c r="DK68" s="193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75">
        <f>SUM(RD[[#This Row],[IS12Inv1M1]:[IS12Inv1M4]])</f>
        <v>35536</v>
      </c>
      <c r="DO68" s="275">
        <f>SUM(RD[[#This Row],[IS13Inv1M1]:[IS13Inv2M2]])</f>
        <v>39504.899999999994</v>
      </c>
      <c r="DP68" s="193">
        <f>SUM(RD[[#This Row],[O2R15]:[O2R26]])</f>
        <v>668786.20000000007</v>
      </c>
      <c r="DQ68" s="158">
        <v>41698.800000000003</v>
      </c>
      <c r="DR68" s="162">
        <v>215.1</v>
      </c>
      <c r="DS68" s="158">
        <v>36207.699999999997</v>
      </c>
      <c r="DT68" s="158">
        <v>227.9</v>
      </c>
      <c r="DU68" s="162">
        <v>42329.3</v>
      </c>
      <c r="DV68" s="162">
        <v>408.8</v>
      </c>
      <c r="DW68" s="158">
        <v>10131.700000000001</v>
      </c>
      <c r="DX68" s="162">
        <v>49.5</v>
      </c>
      <c r="DY68" s="162"/>
      <c r="DZ68" s="162"/>
      <c r="EA68" s="134">
        <v>98.53</v>
      </c>
      <c r="EB68" s="230">
        <v>133710921</v>
      </c>
      <c r="EC68" s="229">
        <v>963453.18400000001</v>
      </c>
      <c r="ED68" s="230">
        <v>1157</v>
      </c>
      <c r="EE68" s="230">
        <v>127978</v>
      </c>
      <c r="EF68" s="158">
        <v>185417.2</v>
      </c>
      <c r="EG68" s="158">
        <v>1880.5</v>
      </c>
      <c r="EH68" s="140">
        <f>IF((RD[[#This Row],[33 kV_F3_Ex
Incomer1]]-DQ67)*1000&lt;0,0,(RD[[#This Row],[33 kV_F3_Ex
Incomer1]]-DQ67)*1000)</f>
        <v>156700.00000000437</v>
      </c>
      <c r="EI68" s="140">
        <f>IF((RD[[#This Row],[34 kV_F3_Im
Incomer1]]-DR67)*1000&lt;0,0,(RD[[#This Row],[34 kV_F3_Im
Incomer1]]-DR67)*1000)</f>
        <v>199.99999999998863</v>
      </c>
      <c r="EJ68" s="140">
        <f>IF((RD[[#This Row],[33 kV_F4_Ex
Incomer2]]-DS67)*1000&lt;0,0,(RD[[#This Row],[33 kV_F4_Ex
Incomer2]]-DS67)*1000)</f>
        <v>142099.99999999854</v>
      </c>
      <c r="EK68" s="140">
        <f>IF((RD[[#This Row],[34 kV_F4_Im
Incomer2]]-DT67)*1000&lt;0,0,(RD[[#This Row],[34 kV_F4_Im
Incomer2]]-DT67)*1000)</f>
        <v>400.00000000000568</v>
      </c>
      <c r="EL68" s="140">
        <f>IF((RD[[#This Row],[33 kV_F5_Ex
Incomer3]]-DU67)*1000&lt;0,0,(RD[[#This Row],[33 kV_F5_Ex
Incomer3]]-DU67)*1000)</f>
        <v>186500</v>
      </c>
      <c r="EM68" s="140">
        <f>IF((RD[[#This Row],[34 kV_F5_Im
Incomer3]]-DV67)*1000&lt;0,0,(RD[[#This Row],[34 kV_F5_Im
Incomer3]]-DV67)*1000)</f>
        <v>600.00000000002274</v>
      </c>
      <c r="EN68" s="140">
        <f>IF((RD[[#This Row],[33 kV_F6_Ex
Incomer4]]-DW67)*1000&lt;0,0,(RD[[#This Row],[33 kV_F6_Ex
Incomer4]]-DW67)*1000)</f>
        <v>179900.00000000146</v>
      </c>
      <c r="EO68" s="140">
        <f t="shared" si="163"/>
        <v>300.00000000001137</v>
      </c>
      <c r="EP68" s="140">
        <f>IF((RD[[#This Row],[33 kV_F7_Ex
Incomer5]]-DY67)*1000&lt;0,0,(RD[[#This Row],[33 kV_F7_Ex
Incomer5]]-DY67)*1000)</f>
        <v>0</v>
      </c>
      <c r="EQ68" s="140">
        <f>IF((RD[[#This Row],[33 kV_F7_Im
Incomer5]]-DZ67)*1000&lt;0,0,(RD[[#This Row],[33 kV_F7_Im
Incomer5]]-DZ67)*1000)</f>
        <v>0</v>
      </c>
      <c r="ER68" s="140">
        <f>IF((RD[[#This Row],[33 kV_Aux Trafo]]-EA67)*1000&lt;0,0,(RD[[#This Row],[33 kV_Aux Trafo]]-EA67)*1000)</f>
        <v>260.00000000000512</v>
      </c>
      <c r="ES68" s="152">
        <f>IF((RD[[#This Row],[33kV_OG1_Ex_]]-EB67)*1&lt;0,0,(RD[[#This Row],[33kV_OG1_Ex_]]-EB67)*1)</f>
        <v>659382</v>
      </c>
      <c r="ET68" s="140">
        <f>IF((RD[[#This Row],[33kV_OG1_Im]]-EC67)*1&lt;0,0,(RD[[#This Row],[33kV_OG1_Im]]-EC67)*1)</f>
        <v>1865.6639999999898</v>
      </c>
      <c r="EU68" s="140">
        <f>IF((RD[[#This Row],[132kV_TX1_EX]]-ED67)*720&lt;=0,"",(RD[[#This Row],[132kV_TX1_EX]]-ED67)*720)</f>
        <v>1440</v>
      </c>
      <c r="EV68" s="140">
        <f>IF((RD[[#This Row],[132 kV_Tx1_Im]]-EE67)*720&lt;=0,0,(RD[[#This Row],[132 kV_Tx1_Im]]-EE67)*720)</f>
        <v>473040</v>
      </c>
      <c r="EW68" s="140">
        <f>IF((RD[[#This Row],[132kV_L1_Ex]]-EF67)*720&lt;=0,0,(RD[[#This Row],[132kV_L1_Ex]]-EF67)*720)</f>
        <v>657144.00000000838</v>
      </c>
      <c r="EX68" s="140">
        <f>IF((RD[[#This Row],[132kV_L1_Im]]-EG67)*720&lt;=0,0,(RD[[#This Row],[132kV_L1_Im]]-EG67)*720)</f>
        <v>2304.0000000000327</v>
      </c>
      <c r="EY68" s="231">
        <f>IFERROR(RD[[#This Row],[33kV_OG1_Ex (MWh)]]+RD[[#This Row],[33kV_OG1_Im (MWh)]],"")</f>
        <v>661247.66399999999</v>
      </c>
      <c r="EZ68" s="142">
        <f>RD[[#This Row],[33kV_OG1_Ex (MWh)]]-RD[[#This Row],[33kV_OG1_Im (MWh)]]</f>
        <v>657516.33600000001</v>
      </c>
      <c r="FA68" s="142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32">
        <f>IFERROR((RD[[#This Row],[Sunset Time (POA&lt;20 W/m2)]]-RD[[#This Row],[Sunrise Time (POA&gt;20 W/m2)]])*24,0)</f>
        <v>12.833333333333332</v>
      </c>
      <c r="FD68" s="233">
        <v>120.7</v>
      </c>
      <c r="FE68" t="s">
        <v>294</v>
      </c>
      <c r="FG68" s="138" t="str">
        <f>IFERROR(RD[[#This Row],[E_AC (WPR)]]/RD[[#This Row],[E_DC (WPR)]],"")</f>
        <v/>
      </c>
    </row>
    <row r="69" spans="1:163">
      <c r="A69" s="130">
        <f t="shared" si="161"/>
        <v>45809</v>
      </c>
      <c r="B69" s="132">
        <f>YEAR(RD[[#This Row],[Date]])+IF(MONTH(RD[[#This Row],[Date]])&gt;=4,1,0)</f>
        <v>2026</v>
      </c>
      <c r="C69" s="132">
        <f>YEAR(RD[[#This Row],[Date]])</f>
        <v>2025</v>
      </c>
      <c r="D69" s="133">
        <f t="shared" ref="D69:D100" si="165">A69-DAY(A69)+1</f>
        <v>45809</v>
      </c>
      <c r="E69" s="132">
        <f>DAY(EOMONTH(RD[[#This Row],[Date]],0))</f>
        <v>30</v>
      </c>
      <c r="F69" s="146">
        <v>0.25069444444444444</v>
      </c>
      <c r="G69" s="156">
        <v>0.78263888888888888</v>
      </c>
      <c r="H69" s="121">
        <v>3732.7</v>
      </c>
      <c r="I69" s="257">
        <v>3660</v>
      </c>
      <c r="J69" s="121">
        <v>3457.6</v>
      </c>
      <c r="K69" s="121">
        <v>3523</v>
      </c>
      <c r="L69" s="121">
        <v>3619.8</v>
      </c>
      <c r="M69" s="121">
        <v>3760.3</v>
      </c>
      <c r="N69" s="121">
        <v>3653.6</v>
      </c>
      <c r="O69" s="121">
        <v>4020.1</v>
      </c>
      <c r="P69" s="121">
        <v>3611.4</v>
      </c>
      <c r="Q69" s="121">
        <v>3624.2</v>
      </c>
      <c r="R69" s="121">
        <v>3770.1</v>
      </c>
      <c r="S69" s="255">
        <v>3739.2</v>
      </c>
      <c r="T69" s="121">
        <v>3865.3</v>
      </c>
      <c r="U69" s="121">
        <v>3739.5</v>
      </c>
      <c r="V69" s="121">
        <v>3809.1</v>
      </c>
      <c r="W69" s="121">
        <v>3624.1</v>
      </c>
      <c r="X69" s="255">
        <v>5168.5</v>
      </c>
      <c r="Y69" s="192">
        <v>5756.6</v>
      </c>
      <c r="Z69" s="192">
        <v>4985.8999999999996</v>
      </c>
      <c r="AA69" s="192">
        <v>5183.3</v>
      </c>
      <c r="AB69" s="255">
        <v>5632.2</v>
      </c>
      <c r="AC69" s="192">
        <v>3409.1</v>
      </c>
      <c r="AD69" s="192">
        <v>5240.8999999999996</v>
      </c>
      <c r="AE69" s="192">
        <v>5309.8</v>
      </c>
      <c r="AF69" s="255">
        <v>5175.7</v>
      </c>
      <c r="AG69" s="192">
        <v>5177</v>
      </c>
      <c r="AH69" s="192">
        <v>5166.3</v>
      </c>
      <c r="AI69" s="255">
        <v>5215.5</v>
      </c>
      <c r="AJ69" s="192">
        <v>4399.6000000000004</v>
      </c>
      <c r="AK69" s="255">
        <v>4447.1000000000004</v>
      </c>
      <c r="AL69" s="192">
        <v>4319.7</v>
      </c>
      <c r="AM69" s="255">
        <v>4366.3999999999996</v>
      </c>
      <c r="AN69" s="192">
        <v>4372.2</v>
      </c>
      <c r="AO69" s="255">
        <v>4514.3999999999996</v>
      </c>
      <c r="AP69" s="192">
        <v>4444.2</v>
      </c>
      <c r="AQ69" s="255">
        <v>4411.5</v>
      </c>
      <c r="AR69" s="192">
        <v>3547.6</v>
      </c>
      <c r="AS69" s="255">
        <v>3562.4</v>
      </c>
      <c r="AT69" s="192">
        <v>3554.4</v>
      </c>
      <c r="AU69" s="255">
        <v>3542.3</v>
      </c>
      <c r="AV69" s="192">
        <v>3629.4</v>
      </c>
      <c r="AW69" s="192">
        <v>3577.8</v>
      </c>
      <c r="AX69" s="192">
        <v>5187</v>
      </c>
      <c r="AY69" s="192">
        <v>5913</v>
      </c>
      <c r="AZ69" s="192">
        <v>4250</v>
      </c>
      <c r="BA69" s="192">
        <v>5150.7</v>
      </c>
      <c r="BB69" s="192">
        <v>4587</v>
      </c>
      <c r="BC69" s="192">
        <v>4229</v>
      </c>
      <c r="BD69" s="192">
        <v>3345</v>
      </c>
      <c r="BE69" s="192">
        <v>4320</v>
      </c>
      <c r="BF69" s="192">
        <v>9011</v>
      </c>
      <c r="BG69" s="192">
        <v>2350</v>
      </c>
      <c r="BH69" s="192">
        <v>938</v>
      </c>
      <c r="BI69" s="192">
        <v>1199</v>
      </c>
      <c r="BJ69" s="192">
        <v>3213</v>
      </c>
      <c r="BK69" s="192">
        <v>2336</v>
      </c>
      <c r="BL69" s="192">
        <v>2976</v>
      </c>
      <c r="BM69" s="192">
        <v>3020</v>
      </c>
      <c r="BN69" s="192">
        <v>3260</v>
      </c>
      <c r="BO69" s="192">
        <v>3192</v>
      </c>
      <c r="BP69" s="192">
        <v>3460</v>
      </c>
      <c r="BQ69" s="192">
        <v>3478</v>
      </c>
      <c r="BR69" s="192">
        <v>3711</v>
      </c>
      <c r="BS69" s="192">
        <v>3825</v>
      </c>
      <c r="BT69" s="192">
        <v>3764</v>
      </c>
      <c r="BU69" s="192">
        <v>3859</v>
      </c>
      <c r="BV69" s="192"/>
      <c r="BW69" s="192"/>
      <c r="BX69" s="192"/>
      <c r="BY69" s="192"/>
      <c r="BZ69" s="192">
        <v>477</v>
      </c>
      <c r="CA69" s="192">
        <v>396</v>
      </c>
      <c r="CB69" s="192">
        <v>1938</v>
      </c>
      <c r="CC69" s="192">
        <v>3273</v>
      </c>
      <c r="CD69" s="250">
        <v>6.2809782833333418</v>
      </c>
      <c r="CE69" s="250">
        <v>6.7065176666666853</v>
      </c>
      <c r="CF69" s="250">
        <v>6.6241442166666671</v>
      </c>
      <c r="CG69" s="250">
        <v>6.9143356666666627</v>
      </c>
      <c r="CH69" s="250">
        <v>0.74349878333333386</v>
      </c>
      <c r="CI69" s="250">
        <v>0.86923035000000004</v>
      </c>
      <c r="CJ69" s="250">
        <v>1.0943879166666663</v>
      </c>
      <c r="CK69" s="250">
        <v>0.98194678333333385</v>
      </c>
      <c r="CL69" s="250">
        <v>30.97924623115583</v>
      </c>
      <c r="CM69" s="250">
        <v>31.207401837928167</v>
      </c>
      <c r="CN69" s="250">
        <v>46.600147403685206</v>
      </c>
      <c r="CO69" s="250">
        <v>43.897540517961545</v>
      </c>
      <c r="CP69" s="250">
        <v>55.185309882747127</v>
      </c>
      <c r="CQ69" s="250">
        <v>56.027685881370104</v>
      </c>
      <c r="CR69" s="250">
        <v>0</v>
      </c>
      <c r="CS69" s="250">
        <v>0</v>
      </c>
      <c r="CT69" s="250">
        <v>1.675248743718591</v>
      </c>
      <c r="CU69" s="250">
        <v>1.7738295739348378</v>
      </c>
      <c r="CV69" s="250">
        <v>4.032</v>
      </c>
      <c r="CW69" s="250">
        <v>3.63</v>
      </c>
      <c r="CX69" s="193">
        <f>IFERROR(AVERAGEIF(RD[[#This Row],[IS1POA1 (KWh/m2)]:[IS7POA2 (KWh/m2)]],"&lt;&gt;0",RD[[#This Row],[IS1POA1 (KWh/m2)]:[IS7POA2 (KWh/m2)]]),"")</f>
        <v>6.493747975000014</v>
      </c>
      <c r="CY69" s="193">
        <f>IFERROR(AVERAGEIF(RD[[#This Row],[IS1GHI1 (KWh/m2)]:[IS7GHI2 (KWh/m2)]],"&lt;&gt;0",RD[[#This Row],[IS1GHI1 (KWh/m2)]:[IS7GHI2 (KWh/m2)]]),"")</f>
        <v>6.7692399416666653</v>
      </c>
      <c r="CZ69" s="193">
        <f>IFERROR(AVERAGEIF(RD[[#This Row],[IS1POA_BS1 (KWh/m2)]:[IS7POA_BS2 (KWh/m2)]],"&lt;&gt;0",RD[[#This Row],[IS1POA_BS1 (KWh/m2)]:[IS7POA_BS2 (KWh/m2)]]),"")</f>
        <v>0.806364566666667</v>
      </c>
      <c r="DA69" s="193">
        <f>IFERROR(AVERAGEIF(RD[[#This Row],[IS1GHI_BS1 (KWh/m2)]:[IS1GHI_BS1 (KWh/m2)2]],"&lt;&gt;0",RD[[#This Row],[IS1GHI_BS1 (KWh/m2)]:[IS1GHI_BS1 (KWh/m2)2]]),"")</f>
        <v>1.0381673500000002</v>
      </c>
      <c r="DB69" s="193">
        <f>IFERROR(AVERAGEIF(RD[[#This Row],[IS1AT1 (°C)]:[IS7AT2 (°C)]],"&lt;&gt;0",RD[[#This Row],[IS1AT1 (°C)]:[IS7AT2 (°C)]]),"")</f>
        <v>31.093324034542</v>
      </c>
      <c r="DC69" s="193">
        <f>IFERROR(AVERAGEIF(RD[[#This Row],[IS1MT1 (°C)]:[IS7MT2 (°C)]],"&lt;&gt;0",RD[[#This Row],[IS1MT1 (°C)]:[IS7MT2 (°C)]]),"")</f>
        <v>45.248843960823379</v>
      </c>
      <c r="DD69" s="193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193">
        <f>IFERROR(AVERAGEIF(RD[[#This Row],[WS_Solar1_Avg (m/s)]:[IS7_WS_Solar1_Avg (m/s)]],"&lt;&gt;0",RD[[#This Row],[WS_Solar1_Avg (m/s)]:[IS7_WS_Solar1_Avg (m/s)]]),"")</f>
        <v>1.7245391588267145</v>
      </c>
      <c r="DG69" s="193">
        <f>IFERROR(AVERAGEIF(RD[[#This Row],[WS_Solar1_Max (m/s)]:[IS7_WS_Solar1_Max (m/s)]],"&lt;&gt;0",RD[[#This Row],[WS_Solar1_Max (m/s)]:[IS7_WS_Solar1_Max (m/s)]]),"")</f>
        <v>3.831</v>
      </c>
      <c r="DH69" s="193">
        <f>SUM(RD[[#This Row],[IS1Inv1M1]:[IS4Inv4M2]])</f>
        <v>120630.79999999999</v>
      </c>
      <c r="DI69" s="194">
        <f>SUM(RD[[#This Row],[IS7Inv1M1]]+RD[[#This Row],[IS7Inv2M1]])</f>
        <v>7110</v>
      </c>
      <c r="DJ69" s="193">
        <f>SUM(RD[[#This Row],[IS5Inv1M1]:[IS5Inv2M2]])</f>
        <v>17532.800000000003</v>
      </c>
      <c r="DK69" s="193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75">
        <f>SUM(RD[[#This Row],[IS12Inv1M1]:[IS12Inv1M4]])</f>
        <v>13390</v>
      </c>
      <c r="DO69" s="275">
        <f>SUM(RD[[#This Row],[IS13Inv1M1]:[IS13Inv2M2]])</f>
        <v>15159</v>
      </c>
      <c r="DP69" s="193">
        <f>SUM(RD[[#This Row],[O2R15]:[O2R26]])</f>
        <v>273977.5</v>
      </c>
      <c r="DQ69" s="158">
        <v>41752.9</v>
      </c>
      <c r="DR69" s="162">
        <v>215.5</v>
      </c>
      <c r="DS69" s="158">
        <v>36265.300000000003</v>
      </c>
      <c r="DT69" s="158">
        <v>228.2</v>
      </c>
      <c r="DU69" s="162">
        <v>42405.8</v>
      </c>
      <c r="DV69" s="162">
        <v>409.4</v>
      </c>
      <c r="DW69" s="158">
        <v>10131.700000000001</v>
      </c>
      <c r="DX69" s="162">
        <v>49.5</v>
      </c>
      <c r="DY69" s="162">
        <v>61.7</v>
      </c>
      <c r="DZ69" s="162">
        <v>0.5</v>
      </c>
      <c r="EA69" s="134">
        <v>98.77</v>
      </c>
      <c r="EB69" s="230">
        <v>133976416</v>
      </c>
      <c r="EC69" s="229">
        <v>965425.53599999996</v>
      </c>
      <c r="ED69" s="230">
        <v>1160</v>
      </c>
      <c r="EE69" s="230">
        <v>128242</v>
      </c>
      <c r="EF69" s="158">
        <v>185784.7</v>
      </c>
      <c r="EG69" s="158">
        <v>1842.2</v>
      </c>
      <c r="EH69" s="140">
        <f>IF((RD[[#This Row],[33 kV_F3_Ex
Incomer1]]-DQ68)*1000&lt;0,0,(RD[[#This Row],[33 kV_F3_Ex
Incomer1]]-DQ68)*1000)</f>
        <v>54099.999999998545</v>
      </c>
      <c r="EI69" s="140">
        <f>IF((RD[[#This Row],[34 kV_F3_Im
Incomer1]]-DR68)*1000&lt;0,0,(RD[[#This Row],[34 kV_F3_Im
Incomer1]]-DR68)*1000)</f>
        <v>400.00000000000568</v>
      </c>
      <c r="EJ69" s="140">
        <f>IF((RD[[#This Row],[33 kV_F4_Ex
Incomer2]]-DS68)*1000&lt;0,0,(RD[[#This Row],[33 kV_F4_Ex
Incomer2]]-DS68)*1000)</f>
        <v>57600.000000005821</v>
      </c>
      <c r="EK69" s="140">
        <f>IF((RD[[#This Row],[34 kV_F4_Im
Incomer2]]-DT68)*1000&lt;0,0,(RD[[#This Row],[34 kV_F4_Im
Incomer2]]-DT68)*1000)</f>
        <v>299.99999999998295</v>
      </c>
      <c r="EL69" s="140">
        <f>IF((RD[[#This Row],[33 kV_F5_Ex
Incomer3]]-DU68)*1000&lt;0,0,(RD[[#This Row],[33 kV_F5_Ex
Incomer3]]-DU68)*1000)</f>
        <v>76500</v>
      </c>
      <c r="EM69" s="140">
        <f>IF((RD[[#This Row],[34 kV_F5_Im
Incomer3]]-DV68)*1000&lt;0,0,(RD[[#This Row],[34 kV_F5_Im
Incomer3]]-DV68)*1000)</f>
        <v>599.99999999996589</v>
      </c>
      <c r="EN69" s="140">
        <f>IF((RD[[#This Row],[33 kV_F6_Ex
Incomer4]]-DW68)*1000&lt;0,0,(RD[[#This Row],[33 kV_F6_Ex
Incomer4]]-DW68)*1000)</f>
        <v>0</v>
      </c>
      <c r="EO69" s="140">
        <f t="shared" si="163"/>
        <v>299.99999999998295</v>
      </c>
      <c r="EP69" s="140">
        <f>IF((RD[[#This Row],[33 kV_F7_Ex
Incomer5]]-DY68)*1000&lt;0,0,(RD[[#This Row],[33 kV_F7_Ex
Incomer5]]-DY68)*1000)</f>
        <v>61700</v>
      </c>
      <c r="EQ69" s="140">
        <f>IF((RD[[#This Row],[33 kV_F7_Im
Incomer5]]-DZ68)*1000&lt;0,0,(RD[[#This Row],[33 kV_F7_Im
Incomer5]]-DZ68)*1000)</f>
        <v>500</v>
      </c>
      <c r="ER69" s="140">
        <f>IF((RD[[#This Row],[33 kV_Aux Trafo]]-EA68)*1000&lt;0,0,(RD[[#This Row],[33 kV_Aux Trafo]]-EA68)*1000)</f>
        <v>239.99999999999488</v>
      </c>
      <c r="ES69" s="152">
        <f>IF((RD[[#This Row],[33kV_OG1_Ex_]]-EB68)*1&lt;0,0,(RD[[#This Row],[33kV_OG1_Ex_]]-EB68)*1)</f>
        <v>265495</v>
      </c>
      <c r="ET69" s="140">
        <f>IF((RD[[#This Row],[33kV_OG1_Im]]-EC68)*1&lt;0,0,(RD[[#This Row],[33kV_OG1_Im]]-EC68)*1)</f>
        <v>1972.3519999999553</v>
      </c>
      <c r="EU69" s="140">
        <f>IF((RD[[#This Row],[132kV_TX1_EX]]-ED68)*720&lt;=0,"",(RD[[#This Row],[132kV_TX1_EX]]-ED68)*720)</f>
        <v>2160</v>
      </c>
      <c r="EV69" s="140">
        <f>IF((RD[[#This Row],[132 kV_Tx1_Im]]-EE68)*720&lt;=0,0,(RD[[#This Row],[132 kV_Tx1_Im]]-EE68)*720)</f>
        <v>190080</v>
      </c>
      <c r="EW69" s="140">
        <f>IF((RD[[#This Row],[132kV_L1_Ex]]-EF68)*720&lt;=0,0,(RD[[#This Row],[132kV_L1_Ex]]-EF68)*720)</f>
        <v>264600</v>
      </c>
      <c r="EX69" s="140">
        <f>IF((RD[[#This Row],[132kV_L1_Im]]-EG68)*720&lt;=0,0,(RD[[#This Row],[132kV_L1_Im]]-EG68)*720)</f>
        <v>0</v>
      </c>
      <c r="EY69" s="231">
        <f>IFERROR(RD[[#This Row],[33kV_OG1_Ex (MWh)]]+RD[[#This Row],[33kV_OG1_Im (MWh)]],"")</f>
        <v>267467.35199999996</v>
      </c>
      <c r="EZ69" s="142">
        <f>RD[[#This Row],[33kV_OG1_Ex (MWh)]]-RD[[#This Row],[33kV_OG1_Im (MWh)]]</f>
        <v>263522.64800000004</v>
      </c>
      <c r="FA69" s="142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32">
        <f>IFERROR((RD[[#This Row],[Sunset Time (POA&lt;20 W/m2)]]-RD[[#This Row],[Sunrise Time (POA&gt;20 W/m2)]])*24,0)</f>
        <v>12.766666666666666</v>
      </c>
      <c r="FD69" s="233">
        <v>120.7</v>
      </c>
      <c r="FE69" t="s">
        <v>295</v>
      </c>
      <c r="FG69" s="138" t="str">
        <f>IFERROR(RD[[#This Row],[E_AC (WPR)]]/RD[[#This Row],[E_DC (WPR)]],"")</f>
        <v/>
      </c>
    </row>
    <row r="70" spans="1:163">
      <c r="A70" s="130">
        <f t="shared" si="161"/>
        <v>45810</v>
      </c>
      <c r="B70" s="132">
        <f>YEAR(RD[[#This Row],[Date]])+IF(MONTH(RD[[#This Row],[Date]])&gt;=4,1,0)</f>
        <v>2026</v>
      </c>
      <c r="C70" s="132">
        <f>YEAR(RD[[#This Row],[Date]])</f>
        <v>2025</v>
      </c>
      <c r="D70" s="133">
        <f t="shared" si="165"/>
        <v>45809</v>
      </c>
      <c r="E70" s="132">
        <f>DAY(EOMONTH(RD[[#This Row],[Date]],0))</f>
        <v>30</v>
      </c>
      <c r="F70" s="146">
        <v>0.25208333333333333</v>
      </c>
      <c r="G70" s="156">
        <v>0.77986111111111112</v>
      </c>
      <c r="H70" s="121">
        <v>8451.2999999999993</v>
      </c>
      <c r="I70" s="257">
        <v>8328.7000000000007</v>
      </c>
      <c r="J70" s="121">
        <v>7948.1</v>
      </c>
      <c r="K70" s="121">
        <v>7993.8</v>
      </c>
      <c r="L70" s="121">
        <v>8264.1</v>
      </c>
      <c r="M70" s="121">
        <v>8470.2999999999993</v>
      </c>
      <c r="N70" s="121">
        <v>8267.7000000000007</v>
      </c>
      <c r="O70" s="121">
        <v>8851.7000000000007</v>
      </c>
      <c r="P70" s="121">
        <v>8267.1</v>
      </c>
      <c r="Q70" s="121">
        <v>8161.6</v>
      </c>
      <c r="R70" s="121">
        <v>8406.5</v>
      </c>
      <c r="S70" s="255">
        <v>8399.5</v>
      </c>
      <c r="T70" s="121">
        <v>8725.2999999999993</v>
      </c>
      <c r="U70" s="121">
        <v>8477.1</v>
      </c>
      <c r="V70" s="121">
        <v>8601.4</v>
      </c>
      <c r="W70" s="121">
        <v>8349.2000000000007</v>
      </c>
      <c r="X70" s="255">
        <v>11615.5</v>
      </c>
      <c r="Y70" s="192">
        <v>12414.7</v>
      </c>
      <c r="Z70" s="192">
        <v>11344.9</v>
      </c>
      <c r="AA70" s="192">
        <v>11819</v>
      </c>
      <c r="AB70" s="255">
        <v>12522</v>
      </c>
      <c r="AC70" s="192">
        <v>7873.5</v>
      </c>
      <c r="AD70" s="192">
        <v>11906.3</v>
      </c>
      <c r="AE70" s="192">
        <v>12072.1</v>
      </c>
      <c r="AF70" s="255">
        <v>11763.5</v>
      </c>
      <c r="AG70" s="192">
        <v>11734.9</v>
      </c>
      <c r="AH70" s="192">
        <v>11739.1</v>
      </c>
      <c r="AI70" s="255">
        <v>11862.7</v>
      </c>
      <c r="AJ70" s="192">
        <v>10337</v>
      </c>
      <c r="AK70" s="255">
        <v>10576.2</v>
      </c>
      <c r="AL70" s="192">
        <v>10346.200000000001</v>
      </c>
      <c r="AM70" s="255">
        <v>10430.1</v>
      </c>
      <c r="AN70" s="192">
        <v>10413.200000000001</v>
      </c>
      <c r="AO70" s="255">
        <v>10765.1</v>
      </c>
      <c r="AP70" s="192">
        <v>10429.1</v>
      </c>
      <c r="AQ70" s="255">
        <v>10448.9</v>
      </c>
      <c r="AR70" s="192">
        <v>8471.7000000000007</v>
      </c>
      <c r="AS70" s="255">
        <v>8510.6</v>
      </c>
      <c r="AT70" s="192">
        <v>8514.2999999999993</v>
      </c>
      <c r="AU70" s="255">
        <v>8477.7000000000007</v>
      </c>
      <c r="AV70" s="192">
        <v>8645</v>
      </c>
      <c r="AW70" s="192">
        <v>8532.2999999999993</v>
      </c>
      <c r="AX70" s="192">
        <v>12155.5</v>
      </c>
      <c r="AY70" s="192">
        <v>13159.3</v>
      </c>
      <c r="AZ70" s="192">
        <v>9834.1</v>
      </c>
      <c r="BA70" s="192">
        <v>11840.3</v>
      </c>
      <c r="BB70" s="192">
        <v>11273</v>
      </c>
      <c r="BC70" s="192">
        <v>10663</v>
      </c>
      <c r="BD70" s="192">
        <v>9579</v>
      </c>
      <c r="BE70" s="192">
        <v>10749</v>
      </c>
      <c r="BF70" s="192">
        <v>11220</v>
      </c>
      <c r="BG70" s="192">
        <v>9124</v>
      </c>
      <c r="BH70" s="192">
        <v>11340</v>
      </c>
      <c r="BI70" s="192">
        <v>11730</v>
      </c>
      <c r="BJ70" s="192">
        <v>7899</v>
      </c>
      <c r="BK70" s="192">
        <v>6299</v>
      </c>
      <c r="BL70" s="192">
        <v>7302</v>
      </c>
      <c r="BM70" s="192">
        <v>7398</v>
      </c>
      <c r="BN70" s="192">
        <v>7845</v>
      </c>
      <c r="BO70" s="192">
        <v>7713</v>
      </c>
      <c r="BP70" s="192">
        <v>8075</v>
      </c>
      <c r="BQ70" s="192">
        <v>8131</v>
      </c>
      <c r="BR70" s="192">
        <v>8959</v>
      </c>
      <c r="BS70" s="192">
        <v>9283</v>
      </c>
      <c r="BT70" s="192">
        <v>9300</v>
      </c>
      <c r="BU70" s="192">
        <v>9432</v>
      </c>
      <c r="BV70" s="192"/>
      <c r="BW70" s="192"/>
      <c r="BX70" s="192"/>
      <c r="BY70" s="192"/>
      <c r="BZ70" s="192">
        <v>1252</v>
      </c>
      <c r="CA70" s="192">
        <v>1058</v>
      </c>
      <c r="CB70" s="192">
        <v>4849</v>
      </c>
      <c r="CC70" s="192">
        <v>7986</v>
      </c>
      <c r="CD70" s="250">
        <v>6.5451097999999908</v>
      </c>
      <c r="CE70" s="250">
        <v>6.8896765666666662</v>
      </c>
      <c r="CF70" s="250">
        <v>6.9101146833333367</v>
      </c>
      <c r="CG70" s="250">
        <v>7.133783266666673</v>
      </c>
      <c r="CH70" s="250">
        <v>0.84082736666666613</v>
      </c>
      <c r="CI70" s="250">
        <v>0.90781341666666571</v>
      </c>
      <c r="CJ70" s="250">
        <v>1.1499374166666683</v>
      </c>
      <c r="CK70" s="250">
        <v>1.0298151999999983</v>
      </c>
      <c r="CL70" s="250">
        <v>30.921530100334479</v>
      </c>
      <c r="CM70" s="250">
        <v>31.192529215358945</v>
      </c>
      <c r="CN70" s="250">
        <v>45.321191471571865</v>
      </c>
      <c r="CO70" s="250">
        <v>43.438962437395709</v>
      </c>
      <c r="CP70" s="250">
        <v>43.438962437395709</v>
      </c>
      <c r="CQ70" s="250">
        <v>53.826844741235377</v>
      </c>
      <c r="CR70" s="250">
        <v>0</v>
      </c>
      <c r="CS70" s="250">
        <v>0</v>
      </c>
      <c r="CT70" s="250">
        <v>1.582126254180602</v>
      </c>
      <c r="CU70" s="250">
        <v>1.7508681135225399</v>
      </c>
      <c r="CV70" s="250">
        <v>3.21</v>
      </c>
      <c r="CW70" s="250">
        <v>3.387</v>
      </c>
      <c r="CX70" s="193">
        <f>IFERROR(AVERAGEIF(RD[[#This Row],[IS1POA1 (KWh/m2)]:[IS7POA2 (KWh/m2)]],"&lt;&gt;0",RD[[#This Row],[IS1POA1 (KWh/m2)]:[IS7POA2 (KWh/m2)]]),"")</f>
        <v>6.7173931833333285</v>
      </c>
      <c r="CY70" s="193">
        <f>IFERROR(AVERAGEIF(RD[[#This Row],[IS1GHI1 (KWh/m2)]:[IS7GHI2 (KWh/m2)]],"&lt;&gt;0",RD[[#This Row],[IS1GHI1 (KWh/m2)]:[IS7GHI2 (KWh/m2)]]),"")</f>
        <v>7.0219489750000044</v>
      </c>
      <c r="CZ70" s="193">
        <f>IFERROR(AVERAGEIF(RD[[#This Row],[IS1POA_BS1 (KWh/m2)]:[IS7POA_BS2 (KWh/m2)]],"&lt;&gt;0",RD[[#This Row],[IS1POA_BS1 (KWh/m2)]:[IS7POA_BS2 (KWh/m2)]]),"")</f>
        <v>0.87432039166666597</v>
      </c>
      <c r="DA70" s="193">
        <f>IFERROR(AVERAGEIF(RD[[#This Row],[IS1GHI_BS1 (KWh/m2)]:[IS1GHI_BS1 (KWh/m2)2]],"&lt;&gt;0",RD[[#This Row],[IS1GHI_BS1 (KWh/m2)]:[IS1GHI_BS1 (KWh/m2)2]]),"")</f>
        <v>1.0898763083333334</v>
      </c>
      <c r="DB70" s="193">
        <f>IFERROR(AVERAGEIF(RD[[#This Row],[IS1AT1 (°C)]:[IS7AT2 (°C)]],"&lt;&gt;0",RD[[#This Row],[IS1AT1 (°C)]:[IS7AT2 (°C)]]),"")</f>
        <v>31.057029657846712</v>
      </c>
      <c r="DC70" s="193">
        <f>IFERROR(AVERAGEIF(RD[[#This Row],[IS1MT1 (°C)]:[IS7MT2 (°C)]],"&lt;&gt;0",RD[[#This Row],[IS1MT1 (°C)]:[IS7MT2 (°C)]]),"")</f>
        <v>44.380076954483783</v>
      </c>
      <c r="DD70" s="193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193">
        <f>IFERROR(AVERAGEIF(RD[[#This Row],[WS_Solar1_Avg (m/s)]:[IS7_WS_Solar1_Avg (m/s)]],"&lt;&gt;0",RD[[#This Row],[WS_Solar1_Avg (m/s)]:[IS7_WS_Solar1_Avg (m/s)]]),"")</f>
        <v>1.666497183851571</v>
      </c>
      <c r="DG70" s="193">
        <f>IFERROR(AVERAGEIF(RD[[#This Row],[WS_Solar1_Max (m/s)]:[IS7_WS_Solar1_Max (m/s)]],"&lt;&gt;0",RD[[#This Row],[WS_Solar1_Max (m/s)]:[IS7_WS_Solar1_Max (m/s)]]),"")</f>
        <v>3.2984999999999998</v>
      </c>
      <c r="DH70" s="193">
        <f>SUM(RD[[#This Row],[IS1Inv1M1]:[IS4Inv4M2]])</f>
        <v>272631.60000000003</v>
      </c>
      <c r="DI70" s="194">
        <f>SUM(RD[[#This Row],[IS7Inv1M1]]+RD[[#This Row],[IS7Inv2M1]])</f>
        <v>16982.300000000003</v>
      </c>
      <c r="DJ70" s="193">
        <f>SUM(RD[[#This Row],[IS5Inv1M1]:[IS5Inv2M2]])</f>
        <v>41689.5</v>
      </c>
      <c r="DK70" s="193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75">
        <f>SUM(RD[[#This Row],[IS12Inv1M1]:[IS12Inv1M4]])</f>
        <v>31764</v>
      </c>
      <c r="DO70" s="275">
        <f>SUM(RD[[#This Row],[IS13Inv1M1]:[IS13Inv2M2]])</f>
        <v>36974</v>
      </c>
      <c r="DP70" s="193">
        <f>SUM(RD[[#This Row],[O2R15]:[O2R26]])</f>
        <v>652977.19999999995</v>
      </c>
      <c r="DQ70" s="158">
        <v>41890.6</v>
      </c>
      <c r="DR70" s="162">
        <v>215.8</v>
      </c>
      <c r="DS70" s="158">
        <v>36395.300000000003</v>
      </c>
      <c r="DT70" s="158">
        <v>228.5</v>
      </c>
      <c r="DU70" s="162">
        <v>42585</v>
      </c>
      <c r="DV70" s="162">
        <v>410</v>
      </c>
      <c r="DW70" s="158">
        <v>10146.700000000001</v>
      </c>
      <c r="DX70" s="162">
        <v>49.7</v>
      </c>
      <c r="DY70" s="162">
        <v>219.8</v>
      </c>
      <c r="DZ70" s="162">
        <v>0.9</v>
      </c>
      <c r="EA70" s="134">
        <v>99.03</v>
      </c>
      <c r="EB70" s="230">
        <v>134618800</v>
      </c>
      <c r="EC70" s="229">
        <v>967429.63199999998</v>
      </c>
      <c r="ED70" s="230">
        <v>1162</v>
      </c>
      <c r="EE70" s="230">
        <v>128882</v>
      </c>
      <c r="EF70" s="158">
        <v>186673.8</v>
      </c>
      <c r="EG70" s="158">
        <v>1887.7</v>
      </c>
      <c r="EH70" s="140">
        <f>IF((RD[[#This Row],[33 kV_F3_Ex
Incomer1]]-DQ69)*1000&lt;0,0,(RD[[#This Row],[33 kV_F3_Ex
Incomer1]]-DQ69)*1000)</f>
        <v>137699.99999999709</v>
      </c>
      <c r="EI70" s="140">
        <f>IF((RD[[#This Row],[34 kV_F3_Im
Incomer1]]-DR69)*1000&lt;0,0,(RD[[#This Row],[34 kV_F3_Im
Incomer1]]-DR69)*1000)</f>
        <v>300.00000000001137</v>
      </c>
      <c r="EJ70" s="140">
        <f>IF((RD[[#This Row],[33 kV_F4_Ex
Incomer2]]-DS69)*1000&lt;0,0,(RD[[#This Row],[33 kV_F4_Ex
Incomer2]]-DS69)*1000)</f>
        <v>130000</v>
      </c>
      <c r="EK70" s="140">
        <f>IF((RD[[#This Row],[34 kV_F4_Im
Incomer2]]-DT69)*1000&lt;0,0,(RD[[#This Row],[34 kV_F4_Im
Incomer2]]-DT69)*1000)</f>
        <v>300.00000000001137</v>
      </c>
      <c r="EL70" s="140">
        <f>IF((RD[[#This Row],[33 kV_F5_Ex
Incomer3]]-DU69)*1000&lt;0,0,(RD[[#This Row],[33 kV_F5_Ex
Incomer3]]-DU69)*1000)</f>
        <v>179199.99999999709</v>
      </c>
      <c r="EM70" s="140">
        <f>IF((RD[[#This Row],[34 kV_F5_Im
Incomer3]]-DV69)*1000&lt;0,0,(RD[[#This Row],[34 kV_F5_Im
Incomer3]]-DV69)*1000)</f>
        <v>600.00000000002274</v>
      </c>
      <c r="EN70" s="140">
        <f>IF((RD[[#This Row],[33 kV_F6_Ex
Incomer4]]-DW69)*1000&lt;0,0,(RD[[#This Row],[33 kV_F6_Ex
Incomer4]]-DW69)*1000)</f>
        <v>15000</v>
      </c>
      <c r="EO70" s="140">
        <f t="shared" si="163"/>
        <v>400.00000000000568</v>
      </c>
      <c r="EP70" s="140">
        <f>IF((RD[[#This Row],[33 kV_F7_Ex
Incomer5]]-DY69)*1000&lt;0,0,(RD[[#This Row],[33 kV_F7_Ex
Incomer5]]-DY69)*1000)</f>
        <v>158100.00000000003</v>
      </c>
      <c r="EQ70" s="140">
        <f>IF((RD[[#This Row],[33 kV_F7_Im
Incomer5]]-DZ69)*1000&lt;0,0,(RD[[#This Row],[33 kV_F7_Im
Incomer5]]-DZ69)*1000)</f>
        <v>400</v>
      </c>
      <c r="ER70" s="140">
        <f>IF((RD[[#This Row],[33 kV_Aux Trafo]]-EA69)*1000&lt;0,0,(RD[[#This Row],[33 kV_Aux Trafo]]-EA69)*1000)</f>
        <v>260.00000000000512</v>
      </c>
      <c r="ES70" s="152">
        <f>IF((RD[[#This Row],[33kV_OG1_Ex_]]-EB69)*1&lt;0,0,(RD[[#This Row],[33kV_OG1_Ex_]]-EB69)*1)</f>
        <v>642384</v>
      </c>
      <c r="ET70" s="140">
        <f>IF((RD[[#This Row],[33kV_OG1_Im]]-EC69)*1&lt;0,0,(RD[[#This Row],[33kV_OG1_Im]]-EC69)*1)</f>
        <v>2004.0960000000196</v>
      </c>
      <c r="EU70" s="140">
        <f>IF((RD[[#This Row],[132kV_TX1_EX]]-ED69)*720&lt;=0,"",(RD[[#This Row],[132kV_TX1_EX]]-ED69)*720)</f>
        <v>1440</v>
      </c>
      <c r="EV70" s="140">
        <f>IF((RD[[#This Row],[132 kV_Tx1_Im]]-EE69)*720&lt;=0,0,(RD[[#This Row],[132 kV_Tx1_Im]]-EE69)*720)</f>
        <v>460800</v>
      </c>
      <c r="EW70" s="140">
        <f>IF((RD[[#This Row],[132kV_L1_Ex]]-EF69)*720&lt;=0,0,(RD[[#This Row],[132kV_L1_Ex]]-EF69)*720)</f>
        <v>640151.99999998324</v>
      </c>
      <c r="EX70" s="140">
        <f>IF((RD[[#This Row],[132kV_L1_Im]]-EG69)*720&lt;=0,0,(RD[[#This Row],[132kV_L1_Im]]-EG69)*720)</f>
        <v>32760</v>
      </c>
      <c r="EY70" s="231">
        <f>IFERROR(RD[[#This Row],[33kV_OG1_Ex (MWh)]]+RD[[#This Row],[33kV_OG1_Im (MWh)]],"")</f>
        <v>644388.09600000002</v>
      </c>
      <c r="EZ70" s="142">
        <f>RD[[#This Row],[33kV_OG1_Ex (MWh)]]-RD[[#This Row],[33kV_OG1_Im (MWh)]]</f>
        <v>640379.90399999998</v>
      </c>
      <c r="FA70" s="142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32">
        <f>IFERROR((RD[[#This Row],[Sunset Time (POA&lt;20 W/m2)]]-RD[[#This Row],[Sunrise Time (POA&gt;20 W/m2)]])*24,0)</f>
        <v>12.666666666666668</v>
      </c>
      <c r="FD70" s="233">
        <v>120.7</v>
      </c>
      <c r="FE70" t="s">
        <v>293</v>
      </c>
      <c r="FG70" s="138" t="str">
        <f>IFERROR(RD[[#This Row],[E_AC (WPR)]]/RD[[#This Row],[E_DC (WPR)]],"")</f>
        <v/>
      </c>
    </row>
    <row r="71" spans="1:163">
      <c r="A71" s="130">
        <f t="shared" si="161"/>
        <v>45811</v>
      </c>
      <c r="B71" s="132">
        <f>YEAR(RD[[#This Row],[Date]])+IF(MONTH(RD[[#This Row],[Date]])&gt;=4,1,0)</f>
        <v>2026</v>
      </c>
      <c r="C71" s="132">
        <f>YEAR(RD[[#This Row],[Date]])</f>
        <v>2025</v>
      </c>
      <c r="D71" s="133">
        <f t="shared" si="165"/>
        <v>45809</v>
      </c>
      <c r="E71" s="132">
        <f>DAY(EOMONTH(RD[[#This Row],[Date]],0))</f>
        <v>30</v>
      </c>
      <c r="F71" s="146">
        <v>0.25069444444444444</v>
      </c>
      <c r="G71" s="156">
        <v>0.77777777777777779</v>
      </c>
      <c r="H71" s="121">
        <v>8019.2</v>
      </c>
      <c r="I71" s="257">
        <v>7944.6</v>
      </c>
      <c r="J71" s="121">
        <v>7622.1</v>
      </c>
      <c r="K71" s="121">
        <v>7603</v>
      </c>
      <c r="L71" s="121">
        <v>7841.1</v>
      </c>
      <c r="M71" s="121">
        <v>8059.2</v>
      </c>
      <c r="N71" s="121">
        <v>7846.2</v>
      </c>
      <c r="O71" s="121">
        <v>8401</v>
      </c>
      <c r="P71" s="121">
        <v>7868.5</v>
      </c>
      <c r="Q71" s="121">
        <v>7770.8</v>
      </c>
      <c r="R71" s="121">
        <v>7980.3</v>
      </c>
      <c r="S71" s="255">
        <v>7953.3</v>
      </c>
      <c r="T71" s="121">
        <v>8282</v>
      </c>
      <c r="U71" s="121">
        <v>8023.3</v>
      </c>
      <c r="V71" s="121">
        <v>8190.1</v>
      </c>
      <c r="W71" s="121">
        <v>7911.1</v>
      </c>
      <c r="X71" s="255">
        <v>11026.5</v>
      </c>
      <c r="Y71" s="192">
        <v>11793.1</v>
      </c>
      <c r="Z71" s="192">
        <v>10788.6</v>
      </c>
      <c r="AA71" s="192">
        <v>11265</v>
      </c>
      <c r="AB71" s="255">
        <v>11804.5</v>
      </c>
      <c r="AC71" s="192">
        <v>7325.1</v>
      </c>
      <c r="AD71" s="192">
        <v>11134.6</v>
      </c>
      <c r="AE71" s="192">
        <v>11278.8</v>
      </c>
      <c r="AF71" s="255">
        <v>11032.9</v>
      </c>
      <c r="AG71" s="192">
        <v>11035</v>
      </c>
      <c r="AH71" s="192">
        <v>11009.6</v>
      </c>
      <c r="AI71" s="255">
        <v>11146.3</v>
      </c>
      <c r="AJ71" s="192">
        <v>9748</v>
      </c>
      <c r="AK71" s="255">
        <v>10017.5</v>
      </c>
      <c r="AL71" s="192">
        <v>9741.5</v>
      </c>
      <c r="AM71" s="255">
        <v>9836.2999999999993</v>
      </c>
      <c r="AN71" s="192">
        <v>9720.7999999999993</v>
      </c>
      <c r="AO71" s="255">
        <v>10035.200000000001</v>
      </c>
      <c r="AP71" s="192">
        <v>9704.1</v>
      </c>
      <c r="AQ71" s="255">
        <v>9768</v>
      </c>
      <c r="AR71" s="192">
        <v>7873.1</v>
      </c>
      <c r="AS71" s="255">
        <v>7923.4</v>
      </c>
      <c r="AT71" s="192">
        <v>7894.7</v>
      </c>
      <c r="AU71" s="255">
        <v>7871.1</v>
      </c>
      <c r="AV71" s="192">
        <v>8019.7</v>
      </c>
      <c r="AW71" s="192">
        <v>7929</v>
      </c>
      <c r="AX71" s="192">
        <v>11286.4</v>
      </c>
      <c r="AY71" s="192">
        <v>12436.7</v>
      </c>
      <c r="AZ71" s="192">
        <v>9350.2999999999993</v>
      </c>
      <c r="BA71" s="192">
        <v>11228.8</v>
      </c>
      <c r="BB71" s="192">
        <v>9081</v>
      </c>
      <c r="BC71" s="192">
        <v>8811</v>
      </c>
      <c r="BD71" s="192">
        <v>9432</v>
      </c>
      <c r="BE71" s="192">
        <v>10511</v>
      </c>
      <c r="BF71" s="192">
        <v>11124</v>
      </c>
      <c r="BG71" s="192">
        <v>10895</v>
      </c>
      <c r="BH71" s="192">
        <v>10820</v>
      </c>
      <c r="BI71" s="192">
        <v>11212</v>
      </c>
      <c r="BJ71" s="192">
        <v>7518</v>
      </c>
      <c r="BK71" s="192">
        <v>5991</v>
      </c>
      <c r="BL71" s="192">
        <v>7080</v>
      </c>
      <c r="BM71" s="192">
        <v>7094</v>
      </c>
      <c r="BN71" s="192">
        <v>7570</v>
      </c>
      <c r="BO71" s="192">
        <v>7472</v>
      </c>
      <c r="BP71" s="192">
        <v>7874</v>
      </c>
      <c r="BQ71" s="192">
        <v>7867</v>
      </c>
      <c r="BR71" s="192">
        <v>8811.9</v>
      </c>
      <c r="BS71" s="192">
        <v>9067.6</v>
      </c>
      <c r="BT71" s="192">
        <v>8988.2999999999993</v>
      </c>
      <c r="BU71" s="192">
        <v>9191.5</v>
      </c>
      <c r="BV71" s="192"/>
      <c r="BW71" s="192"/>
      <c r="BX71" s="192"/>
      <c r="BY71" s="192"/>
      <c r="BZ71" s="192">
        <v>1242</v>
      </c>
      <c r="CA71" s="192">
        <v>1050</v>
      </c>
      <c r="CB71" s="192">
        <v>4795</v>
      </c>
      <c r="CC71" s="192">
        <v>7776</v>
      </c>
      <c r="CD71" s="250">
        <v>6.1679249500000051</v>
      </c>
      <c r="CE71" s="250">
        <v>6.4307895833333291</v>
      </c>
      <c r="CF71" s="250">
        <v>6.5286647666666653</v>
      </c>
      <c r="CG71" s="250">
        <v>6.6684565833333229</v>
      </c>
      <c r="CH71" s="250">
        <v>0.79555931666666579</v>
      </c>
      <c r="CI71" s="250">
        <v>0.87134599999999884</v>
      </c>
      <c r="CJ71" s="250">
        <v>1.1012614999999994</v>
      </c>
      <c r="CK71" s="250">
        <v>0.98170606666666727</v>
      </c>
      <c r="CL71" s="250">
        <v>30.754493957703907</v>
      </c>
      <c r="CM71" s="250">
        <v>31.0156669178599</v>
      </c>
      <c r="CN71" s="250">
        <v>43.562589123867021</v>
      </c>
      <c r="CO71" s="250">
        <v>41.490225320271193</v>
      </c>
      <c r="CP71" s="250">
        <v>53.745015105740144</v>
      </c>
      <c r="CQ71" s="250">
        <v>54.611846269781473</v>
      </c>
      <c r="CR71" s="250">
        <v>0</v>
      </c>
      <c r="CS71" s="250">
        <v>0</v>
      </c>
      <c r="CT71" s="250">
        <v>1.7325113293051355</v>
      </c>
      <c r="CU71" s="250">
        <v>1.8588040693293189</v>
      </c>
      <c r="CV71" s="250">
        <v>3.4860000000000002</v>
      </c>
      <c r="CW71" s="250">
        <v>3.8159999999999998</v>
      </c>
      <c r="CX71" s="193">
        <f>IFERROR(AVERAGEIF(RD[[#This Row],[IS1POA1 (KWh/m2)]:[IS7POA2 (KWh/m2)]],"&lt;&gt;0",RD[[#This Row],[IS1POA1 (KWh/m2)]:[IS7POA2 (KWh/m2)]]),"")</f>
        <v>6.2993572666666671</v>
      </c>
      <c r="CY71" s="193">
        <f>IFERROR(AVERAGEIF(RD[[#This Row],[IS1GHI1 (KWh/m2)]:[IS7GHI2 (KWh/m2)]],"&lt;&gt;0",RD[[#This Row],[IS1GHI1 (KWh/m2)]:[IS7GHI2 (KWh/m2)]]),"")</f>
        <v>6.5985606749999945</v>
      </c>
      <c r="CZ71" s="193">
        <f>IFERROR(AVERAGEIF(RD[[#This Row],[IS1POA_BS1 (KWh/m2)]:[IS7POA_BS2 (KWh/m2)]],"&lt;&gt;0",RD[[#This Row],[IS1POA_BS1 (KWh/m2)]:[IS7POA_BS2 (KWh/m2)]]),"")</f>
        <v>0.83345265833333237</v>
      </c>
      <c r="DA71" s="193">
        <f>IFERROR(AVERAGEIF(RD[[#This Row],[IS1GHI_BS1 (KWh/m2)]:[IS1GHI_BS1 (KWh/m2)2]],"&lt;&gt;0",RD[[#This Row],[IS1GHI_BS1 (KWh/m2)]:[IS1GHI_BS1 (KWh/m2)2]]),"")</f>
        <v>1.0414837833333332</v>
      </c>
      <c r="DB71" s="193">
        <f>IFERROR(AVERAGEIF(RD[[#This Row],[IS1AT1 (°C)]:[IS7AT2 (°C)]],"&lt;&gt;0",RD[[#This Row],[IS1AT1 (°C)]:[IS7AT2 (°C)]]),"")</f>
        <v>30.885080437781902</v>
      </c>
      <c r="DC71" s="193">
        <f>IFERROR(AVERAGEIF(RD[[#This Row],[IS1MT1 (°C)]:[IS7MT2 (°C)]],"&lt;&gt;0",RD[[#This Row],[IS1MT1 (°C)]:[IS7MT2 (°C)]]),"")</f>
        <v>42.526407222069111</v>
      </c>
      <c r="DD71" s="193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193">
        <f>IFERROR(AVERAGEIF(RD[[#This Row],[WS_Solar1_Avg (m/s)]:[IS7_WS_Solar1_Avg (m/s)]],"&lt;&gt;0",RD[[#This Row],[WS_Solar1_Avg (m/s)]:[IS7_WS_Solar1_Avg (m/s)]]),"")</f>
        <v>1.7956576993172271</v>
      </c>
      <c r="DG71" s="193">
        <f>IFERROR(AVERAGEIF(RD[[#This Row],[WS_Solar1_Max (m/s)]:[IS7_WS_Solar1_Max (m/s)]],"&lt;&gt;0",RD[[#This Row],[WS_Solar1_Max (m/s)]:[IS7_WS_Solar1_Max (m/s)]]),"")</f>
        <v>3.6509999999999998</v>
      </c>
      <c r="DH71" s="193">
        <f>SUM(RD[[#This Row],[IS1Inv1M1]:[IS4Inv4M2]])</f>
        <v>257955.80000000002</v>
      </c>
      <c r="DI71" s="194">
        <f>SUM(RD[[#This Row],[IS7Inv1M1]]+RD[[#This Row],[IS7Inv2M1]])</f>
        <v>15796.5</v>
      </c>
      <c r="DJ71" s="193">
        <f>SUM(RD[[#This Row],[IS5Inv1M1]:[IS5Inv2M2]])</f>
        <v>39343.300000000003</v>
      </c>
      <c r="DK71" s="193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75">
        <f>SUM(RD[[#This Row],[IS12Inv1M1]:[IS12Inv1M4]])</f>
        <v>30783</v>
      </c>
      <c r="DO71" s="275">
        <f>SUM(RD[[#This Row],[IS13Inv1M1]:[IS13Inv2M2]])</f>
        <v>36059.300000000003</v>
      </c>
      <c r="DP71" s="193">
        <f>SUM(RD[[#This Row],[O2R15]:[O2R26]])</f>
        <v>619614.70000000007</v>
      </c>
      <c r="DQ71" s="158">
        <v>42020.3</v>
      </c>
      <c r="DR71" s="162">
        <v>216.2</v>
      </c>
      <c r="DS71" s="158">
        <v>36519.800000000003</v>
      </c>
      <c r="DT71" s="158">
        <v>228.8</v>
      </c>
      <c r="DU71" s="162">
        <v>42753.1</v>
      </c>
      <c r="DV71" s="162">
        <v>410.6</v>
      </c>
      <c r="DW71" s="158">
        <v>10161.5</v>
      </c>
      <c r="DX71" s="162">
        <v>49.9</v>
      </c>
      <c r="DY71" s="162">
        <v>372.2</v>
      </c>
      <c r="DZ71" s="162">
        <v>1.4</v>
      </c>
      <c r="EA71" s="134">
        <v>99.29</v>
      </c>
      <c r="EB71" s="230">
        <v>135229038</v>
      </c>
      <c r="EC71" s="229">
        <v>969608.576</v>
      </c>
      <c r="ED71" s="230">
        <v>1165</v>
      </c>
      <c r="EE71" s="230">
        <v>129490</v>
      </c>
      <c r="EF71" s="158">
        <v>187518.5</v>
      </c>
      <c r="EG71" s="158">
        <v>1891.3</v>
      </c>
      <c r="EH71" s="140">
        <f>IF((RD[[#This Row],[33 kV_F3_Ex
Incomer1]]-DQ70)*1000&lt;0,0,(RD[[#This Row],[33 kV_F3_Ex
Incomer1]]-DQ70)*1000)</f>
        <v>129700.00000000437</v>
      </c>
      <c r="EI71" s="140">
        <f>IF((RD[[#This Row],[34 kV_F3_Im
Incomer1]]-DR70)*1000&lt;0,0,(RD[[#This Row],[34 kV_F3_Im
Incomer1]]-DR70)*1000)</f>
        <v>399.99999999997726</v>
      </c>
      <c r="EJ71" s="140">
        <f>IF((RD[[#This Row],[33 kV_F4_Ex
Incomer2]]-DS70)*1000&lt;0,0,(RD[[#This Row],[33 kV_F4_Ex
Incomer2]]-DS70)*1000)</f>
        <v>124500</v>
      </c>
      <c r="EK71" s="140">
        <f>IF((RD[[#This Row],[34 kV_F4_Im
Incomer2]]-DT70)*1000&lt;0,0,(RD[[#This Row],[34 kV_F4_Im
Incomer2]]-DT70)*1000)</f>
        <v>300.00000000001137</v>
      </c>
      <c r="EL71" s="140">
        <f>IF((RD[[#This Row],[33 kV_F5_Ex
Incomer3]]-DU70)*1000&lt;0,0,(RD[[#This Row],[33 kV_F5_Ex
Incomer3]]-DU70)*1000)</f>
        <v>168099.99999999854</v>
      </c>
      <c r="EM71" s="140">
        <f>IF((RD[[#This Row],[34 kV_F5_Im
Incomer3]]-DV70)*1000&lt;0,0,(RD[[#This Row],[34 kV_F5_Im
Incomer3]]-DV70)*1000)</f>
        <v>600.00000000002274</v>
      </c>
      <c r="EN71" s="140">
        <f>IF((RD[[#This Row],[33 kV_F6_Ex
Incomer4]]-DW70)*1000&lt;0,0,(RD[[#This Row],[33 kV_F6_Ex
Incomer4]]-DW70)*1000)</f>
        <v>14799.999999999272</v>
      </c>
      <c r="EO71" s="140">
        <f t="shared" ref="EO71:EO128" si="166">EK68</f>
        <v>400.00000000000568</v>
      </c>
      <c r="EP71" s="140">
        <f>IF((RD[[#This Row],[33 kV_F7_Ex
Incomer5]]-DY70)*1000&lt;0,0,(RD[[#This Row],[33 kV_F7_Ex
Incomer5]]-DY70)*1000)</f>
        <v>152399.99999999997</v>
      </c>
      <c r="EQ71" s="140">
        <f>IF((RD[[#This Row],[33 kV_F7_Im
Incomer5]]-DZ70)*1000&lt;0,0,(RD[[#This Row],[33 kV_F7_Im
Incomer5]]-DZ70)*1000)</f>
        <v>499.99999999999989</v>
      </c>
      <c r="ER71" s="140">
        <f>IF((RD[[#This Row],[33 kV_Aux Trafo]]-EA70)*1000&lt;0,0,(RD[[#This Row],[33 kV_Aux Trafo]]-EA70)*1000)</f>
        <v>260.00000000000512</v>
      </c>
      <c r="ES71" s="152">
        <f>IF((RD[[#This Row],[33kV_OG1_Ex_]]-EB70)*1&lt;0,0,(RD[[#This Row],[33kV_OG1_Ex_]]-EB70)*1)</f>
        <v>610238</v>
      </c>
      <c r="ET71" s="140">
        <f>IF((RD[[#This Row],[33kV_OG1_Im]]-EC70)*1&lt;0,0,(RD[[#This Row],[33kV_OG1_Im]]-EC70)*1)</f>
        <v>2178.9440000000177</v>
      </c>
      <c r="EU71" s="140">
        <f>IF((RD[[#This Row],[132kV_TX1_EX]]-ED70)*720&lt;=0,"",(RD[[#This Row],[132kV_TX1_EX]]-ED70)*720)</f>
        <v>2160</v>
      </c>
      <c r="EV71" s="140">
        <f>IF((RD[[#This Row],[132 kV_Tx1_Im]]-EE70)*720&lt;=0,0,(RD[[#This Row],[132 kV_Tx1_Im]]-EE70)*720)</f>
        <v>437760</v>
      </c>
      <c r="EW71" s="140">
        <f>IF((RD[[#This Row],[132kV_L1_Ex]]-EF70)*720&lt;=0,0,(RD[[#This Row],[132kV_L1_Ex]]-EF70)*720)</f>
        <v>608184.00000000838</v>
      </c>
      <c r="EX71" s="140">
        <f>IF((RD[[#This Row],[132kV_L1_Im]]-EG70)*720&lt;=0,0,(RD[[#This Row],[132kV_L1_Im]]-EG70)*720)</f>
        <v>2591.9999999999345</v>
      </c>
      <c r="EY71" s="231">
        <f>IFERROR(RD[[#This Row],[33kV_OG1_Ex (MWh)]]+RD[[#This Row],[33kV_OG1_Im (MWh)]],"")</f>
        <v>612416.94400000002</v>
      </c>
      <c r="EZ71" s="142">
        <f>RD[[#This Row],[33kV_OG1_Ex (MWh)]]-RD[[#This Row],[33kV_OG1_Im (MWh)]]</f>
        <v>608059.05599999998</v>
      </c>
      <c r="FA71" s="142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32">
        <f>IFERROR((RD[[#This Row],[Sunset Time (POA&lt;20 W/m2)]]-RD[[#This Row],[Sunrise Time (POA&gt;20 W/m2)]])*24,0)</f>
        <v>12.65</v>
      </c>
      <c r="FD71" s="233">
        <v>122.7</v>
      </c>
      <c r="FE71" t="s">
        <v>293</v>
      </c>
      <c r="FG71" s="138" t="str">
        <f>IFERROR(RD[[#This Row],[E_AC (WPR)]]/RD[[#This Row],[E_DC (WPR)]],"")</f>
        <v/>
      </c>
    </row>
    <row r="72" spans="1:163">
      <c r="A72" s="130">
        <f t="shared" si="161"/>
        <v>45812</v>
      </c>
      <c r="B72" s="132">
        <f>YEAR(RD[[#This Row],[Date]])+IF(MONTH(RD[[#This Row],[Date]])&gt;=4,1,0)</f>
        <v>2026</v>
      </c>
      <c r="C72" s="132">
        <f>YEAR(RD[[#This Row],[Date]])</f>
        <v>2025</v>
      </c>
      <c r="D72" s="133">
        <f t="shared" si="165"/>
        <v>45809</v>
      </c>
      <c r="E72" s="132">
        <f>DAY(EOMONTH(RD[[#This Row],[Date]],0))</f>
        <v>30</v>
      </c>
      <c r="F72" s="146">
        <v>0.25138888888888888</v>
      </c>
      <c r="G72" s="156">
        <v>0.77847222222222223</v>
      </c>
      <c r="H72" s="121">
        <v>7632.1</v>
      </c>
      <c r="I72" s="257">
        <v>7582.8</v>
      </c>
      <c r="J72" s="121">
        <v>7210.8</v>
      </c>
      <c r="K72" s="121">
        <v>7250.3</v>
      </c>
      <c r="L72" s="121">
        <v>7450.9</v>
      </c>
      <c r="M72" s="121">
        <v>7631.9</v>
      </c>
      <c r="N72" s="121">
        <v>7436</v>
      </c>
      <c r="O72" s="121">
        <v>7898.5</v>
      </c>
      <c r="P72" s="121">
        <v>7462.1</v>
      </c>
      <c r="Q72" s="121">
        <v>7358</v>
      </c>
      <c r="R72" s="121">
        <v>7550.4</v>
      </c>
      <c r="S72" s="255">
        <v>7519.9</v>
      </c>
      <c r="T72" s="121">
        <v>7925.8</v>
      </c>
      <c r="U72" s="121">
        <v>7583.1</v>
      </c>
      <c r="V72" s="121">
        <v>7823.4</v>
      </c>
      <c r="W72" s="121">
        <v>7605.2</v>
      </c>
      <c r="X72" s="255">
        <v>10601.5</v>
      </c>
      <c r="Y72" s="192">
        <v>11403.4</v>
      </c>
      <c r="Z72" s="192">
        <v>10362.200000000001</v>
      </c>
      <c r="AA72" s="192">
        <v>10840.6</v>
      </c>
      <c r="AB72" s="255">
        <v>11327.3</v>
      </c>
      <c r="AC72" s="192">
        <v>7063.3</v>
      </c>
      <c r="AD72" s="192">
        <v>10764.3</v>
      </c>
      <c r="AE72" s="192">
        <v>10805</v>
      </c>
      <c r="AF72" s="255">
        <v>10699</v>
      </c>
      <c r="AG72" s="192">
        <v>10690</v>
      </c>
      <c r="AH72" s="192">
        <v>10609.3</v>
      </c>
      <c r="AI72" s="255">
        <v>10642.8</v>
      </c>
      <c r="AJ72" s="192">
        <v>9757.7000000000007</v>
      </c>
      <c r="AK72" s="255">
        <v>9956.9</v>
      </c>
      <c r="AL72" s="192">
        <v>9741.2999999999993</v>
      </c>
      <c r="AM72" s="255">
        <v>9822.9</v>
      </c>
      <c r="AN72" s="192">
        <v>9917.4</v>
      </c>
      <c r="AO72" s="255">
        <v>10314.200000000001</v>
      </c>
      <c r="AP72" s="192">
        <v>9975.2999999999993</v>
      </c>
      <c r="AQ72" s="255">
        <v>10036.6</v>
      </c>
      <c r="AR72" s="192">
        <v>8190.8</v>
      </c>
      <c r="AS72" s="255">
        <v>8263.5</v>
      </c>
      <c r="AT72" s="192">
        <v>8090.4</v>
      </c>
      <c r="AU72" s="255">
        <v>8011.9</v>
      </c>
      <c r="AV72" s="192">
        <v>8235.5</v>
      </c>
      <c r="AW72" s="192">
        <v>8238.7999999999993</v>
      </c>
      <c r="AX72" s="192">
        <v>11691</v>
      </c>
      <c r="AY72" s="192">
        <v>12863</v>
      </c>
      <c r="AZ72" s="192">
        <v>9585.9</v>
      </c>
      <c r="BA72" s="192">
        <v>11548.2</v>
      </c>
      <c r="BB72" s="192">
        <v>8576</v>
      </c>
      <c r="BC72" s="192">
        <v>8384</v>
      </c>
      <c r="BD72" s="192">
        <v>8705</v>
      </c>
      <c r="BE72" s="192">
        <v>9668</v>
      </c>
      <c r="BF72" s="192">
        <v>10273</v>
      </c>
      <c r="BG72" s="192">
        <v>10335</v>
      </c>
      <c r="BH72" s="192">
        <v>10176</v>
      </c>
      <c r="BI72" s="192">
        <v>10513</v>
      </c>
      <c r="BJ72" s="192">
        <v>7171</v>
      </c>
      <c r="BK72" s="192">
        <v>5724</v>
      </c>
      <c r="BL72" s="192">
        <v>6908</v>
      </c>
      <c r="BM72" s="192">
        <v>6820</v>
      </c>
      <c r="BN72" s="192">
        <v>7202</v>
      </c>
      <c r="BO72" s="192">
        <v>7068</v>
      </c>
      <c r="BP72" s="192">
        <v>7518</v>
      </c>
      <c r="BQ72" s="192">
        <v>7475</v>
      </c>
      <c r="BR72" s="192">
        <v>8620</v>
      </c>
      <c r="BS72" s="192">
        <v>8859</v>
      </c>
      <c r="BT72" s="192">
        <v>8452</v>
      </c>
      <c r="BU72" s="192">
        <v>8942</v>
      </c>
      <c r="BV72" s="192"/>
      <c r="BW72" s="192"/>
      <c r="BX72" s="192"/>
      <c r="BY72" s="192"/>
      <c r="BZ72" s="192">
        <v>1215</v>
      </c>
      <c r="CA72" s="192">
        <v>1024</v>
      </c>
      <c r="CB72" s="192">
        <v>4703</v>
      </c>
      <c r="CC72" s="192">
        <v>7639</v>
      </c>
      <c r="CD72" s="250">
        <v>5.8535785666666644</v>
      </c>
      <c r="CE72" s="250">
        <v>6.7301187833333396</v>
      </c>
      <c r="CF72" s="250">
        <v>6.1860936000000075</v>
      </c>
      <c r="CG72" s="250">
        <v>6.953709966666664</v>
      </c>
      <c r="CH72" s="250">
        <v>0.75762493333333358</v>
      </c>
      <c r="CI72" s="250">
        <v>0.90825860000000003</v>
      </c>
      <c r="CJ72" s="250">
        <v>1.0447018833333339</v>
      </c>
      <c r="CK72" s="250">
        <v>1.0297492500000009</v>
      </c>
      <c r="CL72" s="250">
        <v>30.294941471571889</v>
      </c>
      <c r="CM72" s="250">
        <v>30.269099249374449</v>
      </c>
      <c r="CN72" s="250">
        <v>44.444250836120418</v>
      </c>
      <c r="CO72" s="250">
        <v>42.723266055045826</v>
      </c>
      <c r="CP72" s="250">
        <v>57.948704013377935</v>
      </c>
      <c r="CQ72" s="250">
        <v>59.852418682235147</v>
      </c>
      <c r="CR72" s="250">
        <v>0</v>
      </c>
      <c r="CS72" s="250">
        <v>0</v>
      </c>
      <c r="CT72" s="250">
        <v>1.155366220735786</v>
      </c>
      <c r="CU72" s="250">
        <v>1.2187556296914104</v>
      </c>
      <c r="CV72" s="250">
        <v>3.0779999999999998</v>
      </c>
      <c r="CW72" s="250">
        <v>3.42</v>
      </c>
      <c r="CX72" s="193">
        <f>IFERROR(AVERAGEIF(RD[[#This Row],[IS1POA1 (KWh/m2)]:[IS7POA2 (KWh/m2)]],"&lt;&gt;0",RD[[#This Row],[IS1POA1 (KWh/m2)]:[IS7POA2 (KWh/m2)]]),"")</f>
        <v>6.2918486750000024</v>
      </c>
      <c r="CY72" s="193">
        <f>IFERROR(AVERAGEIF(RD[[#This Row],[IS1GHI1 (KWh/m2)]:[IS7GHI2 (KWh/m2)]],"&lt;&gt;0",RD[[#This Row],[IS1GHI1 (KWh/m2)]:[IS7GHI2 (KWh/m2)]]),"")</f>
        <v>6.5699017833333357</v>
      </c>
      <c r="CZ72" s="193">
        <f>IFERROR(AVERAGEIF(RD[[#This Row],[IS1POA_BS1 (KWh/m2)]:[IS7POA_BS2 (KWh/m2)]],"&lt;&gt;0",RD[[#This Row],[IS1POA_BS1 (KWh/m2)]:[IS7POA_BS2 (KWh/m2)]]),"")</f>
        <v>0.83294176666666675</v>
      </c>
      <c r="DA72" s="193">
        <f>IFERROR(AVERAGEIF(RD[[#This Row],[IS1GHI_BS1 (KWh/m2)]:[IS1GHI_BS1 (KWh/m2)2]],"&lt;&gt;0",RD[[#This Row],[IS1GHI_BS1 (KWh/m2)]:[IS1GHI_BS1 (KWh/m2)2]]),"")</f>
        <v>1.0372255666666674</v>
      </c>
      <c r="DB72" s="193">
        <f>IFERROR(AVERAGEIF(RD[[#This Row],[IS1AT1 (°C)]:[IS7AT2 (°C)]],"&lt;&gt;0",RD[[#This Row],[IS1AT1 (°C)]:[IS7AT2 (°C)]]),"")</f>
        <v>30.282020360473169</v>
      </c>
      <c r="DC72" s="193">
        <f>IFERROR(AVERAGEIF(RD[[#This Row],[IS1MT1 (°C)]:[IS7MT2 (°C)]],"&lt;&gt;0",RD[[#This Row],[IS1MT1 (°C)]:[IS7MT2 (°C)]]),"")</f>
        <v>43.583758445583122</v>
      </c>
      <c r="DD72" s="193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193">
        <f>IFERROR(AVERAGEIF(RD[[#This Row],[WS_Solar1_Avg (m/s)]:[IS7_WS_Solar1_Avg (m/s)]],"&lt;&gt;0",RD[[#This Row],[WS_Solar1_Avg (m/s)]:[IS7_WS_Solar1_Avg (m/s)]]),"")</f>
        <v>1.1870609252135982</v>
      </c>
      <c r="DG72" s="193">
        <f>IFERROR(AVERAGEIF(RD[[#This Row],[WS_Solar1_Max (m/s)]:[IS7_WS_Solar1_Max (m/s)]],"&lt;&gt;0",RD[[#This Row],[WS_Solar1_Max (m/s)]:[IS7_WS_Solar1_Max (m/s)]]),"")</f>
        <v>3.2489999999999997</v>
      </c>
      <c r="DH72" s="193">
        <f>SUM(RD[[#This Row],[IS1Inv1M1]:[IS4Inv4M2]])</f>
        <v>246729.89999999997</v>
      </c>
      <c r="DI72" s="194">
        <f>SUM(RD[[#This Row],[IS7Inv1M1]]+RD[[#This Row],[IS7Inv2M1]])</f>
        <v>16454.3</v>
      </c>
      <c r="DJ72" s="193">
        <f>SUM(RD[[#This Row],[IS5Inv1M1]:[IS5Inv2M2]])</f>
        <v>39278.799999999996</v>
      </c>
      <c r="DK72" s="193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75">
        <f>SUM(RD[[#This Row],[IS12Inv1M1]:[IS12Inv1M4]])</f>
        <v>29263</v>
      </c>
      <c r="DO72" s="275">
        <f>SUM(RD[[#This Row],[IS13Inv1M1]:[IS13Inv2M2]])</f>
        <v>34873</v>
      </c>
      <c r="DP72" s="193">
        <f>SUM(RD[[#This Row],[O2R15]:[O2R26]])</f>
        <v>602941.19999999995</v>
      </c>
      <c r="DQ72" s="158">
        <v>42145.2</v>
      </c>
      <c r="DR72" s="162">
        <v>216.6</v>
      </c>
      <c r="DS72" s="158">
        <v>36638.1</v>
      </c>
      <c r="DT72" s="158">
        <v>229.2</v>
      </c>
      <c r="DU72" s="162">
        <v>42924.9</v>
      </c>
      <c r="DV72" s="162">
        <v>411.2</v>
      </c>
      <c r="DW72" s="158">
        <v>10175.9</v>
      </c>
      <c r="DX72" s="162">
        <v>50.1</v>
      </c>
      <c r="DY72" s="162">
        <v>516.9</v>
      </c>
      <c r="DZ72" s="162">
        <v>1.9</v>
      </c>
      <c r="EA72" s="134">
        <v>99.57</v>
      </c>
      <c r="EB72" s="230">
        <v>135822893</v>
      </c>
      <c r="EC72" s="229">
        <v>971933.63199999998</v>
      </c>
      <c r="ED72" s="230">
        <v>1168</v>
      </c>
      <c r="EE72" s="230">
        <v>130001</v>
      </c>
      <c r="EF72" s="158">
        <v>188340.4</v>
      </c>
      <c r="EG72" s="158">
        <v>1895.3</v>
      </c>
      <c r="EH72" s="140">
        <f>IF((RD[[#This Row],[33 kV_F3_Ex
Incomer1]]-DQ71)*1000&lt;0,0,(RD[[#This Row],[33 kV_F3_Ex
Incomer1]]-DQ71)*1000)</f>
        <v>124899.99999999418</v>
      </c>
      <c r="EI72" s="140">
        <f>IF((RD[[#This Row],[34 kV_F3_Im
Incomer1]]-DR71)*1000&lt;0,0,(RD[[#This Row],[34 kV_F3_Im
Incomer1]]-DR71)*1000)</f>
        <v>400.00000000000568</v>
      </c>
      <c r="EJ72" s="140">
        <f>IF((RD[[#This Row],[33 kV_F4_Ex
Incomer2]]-DS71)*1000&lt;0,0,(RD[[#This Row],[33 kV_F4_Ex
Incomer2]]-DS71)*1000)</f>
        <v>118299.99999999563</v>
      </c>
      <c r="EK72" s="140">
        <f>IF((RD[[#This Row],[34 kV_F4_Im
Incomer2]]-DT71)*1000&lt;0,0,(RD[[#This Row],[34 kV_F4_Im
Incomer2]]-DT71)*1000)</f>
        <v>399.99999999997726</v>
      </c>
      <c r="EL72" s="140">
        <f>IF((RD[[#This Row],[33 kV_F5_Ex
Incomer3]]-DU71)*1000&lt;0,0,(RD[[#This Row],[33 kV_F5_Ex
Incomer3]]-DU71)*1000)</f>
        <v>171800.00000000291</v>
      </c>
      <c r="EM72" s="140">
        <f>IF((RD[[#This Row],[34 kV_F5_Im
Incomer3]]-DV71)*1000&lt;0,0,(RD[[#This Row],[34 kV_F5_Im
Incomer3]]-DV71)*1000)</f>
        <v>599.99999999996589</v>
      </c>
      <c r="EN72" s="140">
        <f>IF((RD[[#This Row],[33 kV_F6_Ex
Incomer4]]-DW71)*1000&lt;0,0,(RD[[#This Row],[33 kV_F6_Ex
Incomer4]]-DW71)*1000)</f>
        <v>14399.999999999636</v>
      </c>
      <c r="EO72" s="140">
        <f t="shared" si="166"/>
        <v>299.99999999998295</v>
      </c>
      <c r="EP72" s="140">
        <f>IF((RD[[#This Row],[33 kV_F7_Ex
Incomer5]]-DY71)*1000&lt;0,0,(RD[[#This Row],[33 kV_F7_Ex
Incomer5]]-DY71)*1000)</f>
        <v>144700</v>
      </c>
      <c r="EQ72" s="140">
        <f>IF((RD[[#This Row],[33 kV_F7_Im
Incomer5]]-DZ71)*1000&lt;0,0,(RD[[#This Row],[33 kV_F7_Im
Incomer5]]-DZ71)*1000)</f>
        <v>500</v>
      </c>
      <c r="ER72" s="140">
        <f>IF((RD[[#This Row],[33 kV_Aux Trafo]]-EA71)*1000&lt;0,0,(RD[[#This Row],[33 kV_Aux Trafo]]-EA71)*1000)</f>
        <v>279.99999999998693</v>
      </c>
      <c r="ES72" s="152">
        <f>IF((RD[[#This Row],[33kV_OG1_Ex_]]-EB71)*1&lt;0,0,(RD[[#This Row],[33kV_OG1_Ex_]]-EB71)*1)</f>
        <v>593855</v>
      </c>
      <c r="ET72" s="140">
        <f>IF((RD[[#This Row],[33kV_OG1_Im]]-EC71)*1&lt;0,0,(RD[[#This Row],[33kV_OG1_Im]]-EC71)*1)</f>
        <v>2325.0559999999823</v>
      </c>
      <c r="EU72" s="140">
        <f>IF((RD[[#This Row],[132kV_TX1_EX]]-ED71)*720&lt;=0,"",(RD[[#This Row],[132kV_TX1_EX]]-ED71)*720)</f>
        <v>2160</v>
      </c>
      <c r="EV72" s="140">
        <f>IF((RD[[#This Row],[132 kV_Tx1_Im]]-EE71)*720&lt;=0,0,(RD[[#This Row],[132 kV_Tx1_Im]]-EE71)*720)</f>
        <v>367920</v>
      </c>
      <c r="EW72" s="140">
        <f>IF((RD[[#This Row],[132kV_L1_Ex]]-EF71)*720&lt;=0,0,(RD[[#This Row],[132kV_L1_Ex]]-EF71)*720)</f>
        <v>591767.99999999581</v>
      </c>
      <c r="EX72" s="140">
        <f>IF((RD[[#This Row],[132kV_L1_Im]]-EG71)*720&lt;=0,0,(RD[[#This Row],[132kV_L1_Im]]-EG71)*720)</f>
        <v>2880</v>
      </c>
      <c r="EY72" s="231">
        <f>IFERROR(RD[[#This Row],[33kV_OG1_Ex (MWh)]]+RD[[#This Row],[33kV_OG1_Im (MWh)]],"")</f>
        <v>596180.05599999998</v>
      </c>
      <c r="EZ72" s="142">
        <f>RD[[#This Row],[33kV_OG1_Ex (MWh)]]-RD[[#This Row],[33kV_OG1_Im (MWh)]]</f>
        <v>591529.94400000002</v>
      </c>
      <c r="FA72" s="142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32">
        <f>IFERROR((RD[[#This Row],[Sunset Time (POA&lt;20 W/m2)]]-RD[[#This Row],[Sunrise Time (POA&gt;20 W/m2)]])*24,0)</f>
        <v>12.65</v>
      </c>
      <c r="FD72" s="233">
        <v>122.7</v>
      </c>
      <c r="FE72" t="s">
        <v>293</v>
      </c>
      <c r="FG72" s="138" t="str">
        <f>IFERROR(RD[[#This Row],[E_AC (WPR)]]/RD[[#This Row],[E_DC (WPR)]],"")</f>
        <v/>
      </c>
    </row>
    <row r="73" spans="1:163">
      <c r="A73" s="130">
        <f t="shared" si="161"/>
        <v>45813</v>
      </c>
      <c r="B73" s="132">
        <f>YEAR(RD[[#This Row],[Date]])+IF(MONTH(RD[[#This Row],[Date]])&gt;=4,1,0)</f>
        <v>2026</v>
      </c>
      <c r="C73" s="132">
        <f>YEAR(RD[[#This Row],[Date]])</f>
        <v>2025</v>
      </c>
      <c r="D73" s="133">
        <f t="shared" si="165"/>
        <v>45809</v>
      </c>
      <c r="E73" s="132">
        <f>DAY(EOMONTH(RD[[#This Row],[Date]],0))</f>
        <v>30</v>
      </c>
      <c r="F73" s="146">
        <v>0.25694444444444442</v>
      </c>
      <c r="G73" s="156">
        <v>0.77916666666666667</v>
      </c>
      <c r="H73" s="121">
        <v>8281.1</v>
      </c>
      <c r="I73" s="257">
        <v>8262.6</v>
      </c>
      <c r="J73" s="121">
        <v>7867.2</v>
      </c>
      <c r="K73" s="121">
        <v>7912</v>
      </c>
      <c r="L73" s="121">
        <v>8087.7</v>
      </c>
      <c r="M73" s="121">
        <v>8282.7999999999993</v>
      </c>
      <c r="N73" s="121">
        <v>8116.3</v>
      </c>
      <c r="O73" s="121">
        <v>8608.2000000000007</v>
      </c>
      <c r="P73" s="121">
        <v>8254.2000000000007</v>
      </c>
      <c r="Q73" s="121">
        <v>7977.2</v>
      </c>
      <c r="R73" s="121">
        <v>8241.2999999999993</v>
      </c>
      <c r="S73" s="255">
        <v>8310.4</v>
      </c>
      <c r="T73" s="121">
        <v>8740</v>
      </c>
      <c r="U73" s="121">
        <v>8432.2999999999993</v>
      </c>
      <c r="V73" s="121">
        <v>8480.1</v>
      </c>
      <c r="W73" s="121">
        <v>8278.4</v>
      </c>
      <c r="X73" s="255">
        <v>11671.1</v>
      </c>
      <c r="Y73" s="192">
        <v>12732.4</v>
      </c>
      <c r="Z73" s="192">
        <v>11347.5</v>
      </c>
      <c r="AA73" s="192">
        <v>11970.1</v>
      </c>
      <c r="AB73" s="255">
        <v>12469</v>
      </c>
      <c r="AC73" s="192">
        <v>7791</v>
      </c>
      <c r="AD73" s="192">
        <v>11783</v>
      </c>
      <c r="AE73" s="192">
        <v>12015.7</v>
      </c>
      <c r="AF73" s="255">
        <v>11589.4</v>
      </c>
      <c r="AG73" s="192">
        <v>11553</v>
      </c>
      <c r="AH73" s="192">
        <v>11523.8</v>
      </c>
      <c r="AI73" s="255">
        <v>11585.4</v>
      </c>
      <c r="AJ73" s="192">
        <v>9492.4</v>
      </c>
      <c r="AK73" s="255">
        <v>9743.2000000000007</v>
      </c>
      <c r="AL73" s="192">
        <v>9467.9</v>
      </c>
      <c r="AM73" s="255">
        <v>9585.9</v>
      </c>
      <c r="AN73" s="192">
        <v>9559.2000000000007</v>
      </c>
      <c r="AO73" s="255">
        <v>9907.6</v>
      </c>
      <c r="AP73" s="192">
        <v>9651.2999999999993</v>
      </c>
      <c r="AQ73" s="255">
        <v>9696.2999999999993</v>
      </c>
      <c r="AR73" s="192">
        <v>7927.7</v>
      </c>
      <c r="AS73" s="255">
        <v>8013.7</v>
      </c>
      <c r="AT73" s="192">
        <v>7801.1</v>
      </c>
      <c r="AU73" s="255">
        <v>7783.1</v>
      </c>
      <c r="AV73" s="192">
        <v>8025.1</v>
      </c>
      <c r="AW73" s="192">
        <v>8005.7</v>
      </c>
      <c r="AX73" s="192">
        <v>11323</v>
      </c>
      <c r="AY73" s="192">
        <v>12556.6</v>
      </c>
      <c r="AZ73" s="192">
        <v>9277.6</v>
      </c>
      <c r="BA73" s="192">
        <v>11220.9</v>
      </c>
      <c r="BB73" s="192">
        <v>9464</v>
      </c>
      <c r="BC73" s="192">
        <v>9272</v>
      </c>
      <c r="BD73" s="192">
        <v>9868</v>
      </c>
      <c r="BE73" s="192">
        <v>11162</v>
      </c>
      <c r="BF73" s="192">
        <v>12070</v>
      </c>
      <c r="BG73" s="192">
        <v>12149</v>
      </c>
      <c r="BH73" s="192">
        <v>11945</v>
      </c>
      <c r="BI73" s="192">
        <v>12210</v>
      </c>
      <c r="BJ73" s="192">
        <v>8216</v>
      </c>
      <c r="BK73" s="192">
        <v>6472</v>
      </c>
      <c r="BL73" s="192">
        <v>7757</v>
      </c>
      <c r="BM73" s="192">
        <v>7736</v>
      </c>
      <c r="BN73" s="192">
        <v>8205</v>
      </c>
      <c r="BO73" s="192">
        <v>7968</v>
      </c>
      <c r="BP73" s="192">
        <v>8486</v>
      </c>
      <c r="BQ73" s="192">
        <v>8427</v>
      </c>
      <c r="BR73" s="192">
        <v>9188</v>
      </c>
      <c r="BS73" s="192">
        <v>9510</v>
      </c>
      <c r="BT73" s="192">
        <v>9257</v>
      </c>
      <c r="BU73" s="192">
        <v>9582</v>
      </c>
      <c r="BV73" s="192"/>
      <c r="BW73" s="192"/>
      <c r="BX73" s="192"/>
      <c r="BY73" s="192"/>
      <c r="BZ73" s="192">
        <v>1291</v>
      </c>
      <c r="CA73" s="192">
        <v>1099</v>
      </c>
      <c r="CB73" s="192">
        <v>5018</v>
      </c>
      <c r="CC73" s="192">
        <v>8213</v>
      </c>
      <c r="CD73" s="250">
        <v>6.2057633833333297</v>
      </c>
      <c r="CE73" s="250">
        <v>6.387309466666677</v>
      </c>
      <c r="CF73" s="250">
        <v>6.5733590999999967</v>
      </c>
      <c r="CG73" s="250">
        <v>6.6100831333333367</v>
      </c>
      <c r="CH73" s="250">
        <v>0.76122695000000018</v>
      </c>
      <c r="CI73" s="250">
        <v>0.90203693333333324</v>
      </c>
      <c r="CJ73" s="250">
        <v>1.0785776500000002</v>
      </c>
      <c r="CK73" s="250">
        <v>0.97542740000000017</v>
      </c>
      <c r="CL73" s="250">
        <v>29.769476228847697</v>
      </c>
      <c r="CM73" s="250">
        <v>30.050128617363331</v>
      </c>
      <c r="CN73" s="250">
        <v>44.405913779210387</v>
      </c>
      <c r="CO73" s="250">
        <v>42.52203536977494</v>
      </c>
      <c r="CP73" s="250">
        <v>61.966430298146804</v>
      </c>
      <c r="CQ73" s="250">
        <v>61.749268488746097</v>
      </c>
      <c r="CR73" s="250">
        <v>3.4037066881547208E-2</v>
      </c>
      <c r="CS73" s="250">
        <v>9.6463022508038506E-3</v>
      </c>
      <c r="CT73" s="250">
        <v>0.9535817888799355</v>
      </c>
      <c r="CU73" s="250">
        <v>1.0194501607717033</v>
      </c>
      <c r="CV73" s="250">
        <v>2.7719999999999998</v>
      </c>
      <c r="CW73" s="250">
        <v>3.0990000000000002</v>
      </c>
      <c r="CX73" s="193">
        <f>IFERROR(AVERAGEIF(RD[[#This Row],[IS1POA1 (KWh/m2)]:[IS7POA2 (KWh/m2)]],"&lt;&gt;0",RD[[#This Row],[IS1POA1 (KWh/m2)]:[IS7POA2 (KWh/m2)]]),"")</f>
        <v>6.2965364250000029</v>
      </c>
      <c r="CY73" s="193">
        <f>IFERROR(AVERAGEIF(RD[[#This Row],[IS1GHI1 (KWh/m2)]:[IS7GHI2 (KWh/m2)]],"&lt;&gt;0",RD[[#This Row],[IS1GHI1 (KWh/m2)]:[IS7GHI2 (KWh/m2)]]),"")</f>
        <v>6.5917211166666672</v>
      </c>
      <c r="CZ73" s="193">
        <f>IFERROR(AVERAGEIF(RD[[#This Row],[IS1POA_BS1 (KWh/m2)]:[IS7POA_BS2 (KWh/m2)]],"&lt;&gt;0",RD[[#This Row],[IS1POA_BS1 (KWh/m2)]:[IS7POA_BS2 (KWh/m2)]]),"")</f>
        <v>0.83163194166666665</v>
      </c>
      <c r="DA73" s="193">
        <f>IFERROR(AVERAGEIF(RD[[#This Row],[IS1GHI_BS1 (KWh/m2)]:[IS1GHI_BS1 (KWh/m2)2]],"&lt;&gt;0",RD[[#This Row],[IS1GHI_BS1 (KWh/m2)]:[IS1GHI_BS1 (KWh/m2)2]]),"")</f>
        <v>1.0270025250000001</v>
      </c>
      <c r="DB73" s="193">
        <f>IFERROR(AVERAGEIF(RD[[#This Row],[IS1AT1 (°C)]:[IS7AT2 (°C)]],"&lt;&gt;0",RD[[#This Row],[IS1AT1 (°C)]:[IS7AT2 (°C)]]),"")</f>
        <v>29.909802423105514</v>
      </c>
      <c r="DC73" s="193">
        <f>IFERROR(AVERAGEIF(RD[[#This Row],[IS1MT1 (°C)]:[IS7MT2 (°C)]],"&lt;&gt;0",RD[[#This Row],[IS1MT1 (°C)]:[IS7MT2 (°C)]]),"")</f>
        <v>43.463974574492667</v>
      </c>
      <c r="DD73" s="193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193">
        <f>IFERROR(AVERAGEIF(RD[[#This Row],[WS_Solar1_Avg (m/s)]:[IS7_WS_Solar1_Avg (m/s)]],"&lt;&gt;0",RD[[#This Row],[WS_Solar1_Avg (m/s)]:[IS7_WS_Solar1_Avg (m/s)]]),"")</f>
        <v>0.98651597482581943</v>
      </c>
      <c r="DG73" s="193">
        <f>IFERROR(AVERAGEIF(RD[[#This Row],[WS_Solar1_Max (m/s)]:[IS7_WS_Solar1_Max (m/s)]],"&lt;&gt;0",RD[[#This Row],[WS_Solar1_Max (m/s)]:[IS7_WS_Solar1_Max (m/s)]]),"")</f>
        <v>2.9355000000000002</v>
      </c>
      <c r="DH73" s="193">
        <f>SUM(RD[[#This Row],[IS1Inv1M1]:[IS4Inv4M2]])</f>
        <v>270163.20000000001</v>
      </c>
      <c r="DI73" s="194">
        <f>SUM(RD[[#This Row],[IS7Inv1M1]]+RD[[#This Row],[IS7Inv2M1]])</f>
        <v>15941.4</v>
      </c>
      <c r="DJ73" s="193">
        <f>SUM(RD[[#This Row],[IS5Inv1M1]:[IS5Inv2M2]])</f>
        <v>38289.4</v>
      </c>
      <c r="DK73" s="193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75">
        <f>SUM(RD[[#This Row],[IS12Inv1M1]:[IS12Inv1M4]])</f>
        <v>33086</v>
      </c>
      <c r="DO73" s="275">
        <f>SUM(RD[[#This Row],[IS13Inv1M1]:[IS13Inv2M2]])</f>
        <v>37537</v>
      </c>
      <c r="DP73" s="193">
        <f>SUM(RD[[#This Row],[O2R15]:[O2R26]])</f>
        <v>643766.5</v>
      </c>
      <c r="DQ73" s="158">
        <v>42282.3</v>
      </c>
      <c r="DR73" s="162">
        <v>216.9</v>
      </c>
      <c r="DS73" s="158">
        <v>36766.5</v>
      </c>
      <c r="DT73" s="158">
        <v>229.5</v>
      </c>
      <c r="DU73" s="162">
        <v>43091.5</v>
      </c>
      <c r="DV73" s="162">
        <v>411.8</v>
      </c>
      <c r="DW73" s="158">
        <v>10191.4</v>
      </c>
      <c r="DX73" s="162">
        <v>50.3</v>
      </c>
      <c r="DY73" s="162">
        <v>679</v>
      </c>
      <c r="DZ73" s="162">
        <v>2.4</v>
      </c>
      <c r="EA73" s="134">
        <v>99.84</v>
      </c>
      <c r="EB73" s="230">
        <v>136456110</v>
      </c>
      <c r="EC73" s="229">
        <v>974043.45600000001</v>
      </c>
      <c r="ED73" s="230">
        <v>1171</v>
      </c>
      <c r="EE73" s="230">
        <v>130712</v>
      </c>
      <c r="EF73" s="158">
        <v>189217</v>
      </c>
      <c r="EG73" s="158">
        <v>1898.9</v>
      </c>
      <c r="EH73" s="140">
        <f>IF((RD[[#This Row],[33 kV_F3_Ex
Incomer1]]-DQ72)*1000&lt;0,0,(RD[[#This Row],[33 kV_F3_Ex
Incomer1]]-DQ72)*1000)</f>
        <v>137100.00000000582</v>
      </c>
      <c r="EI73" s="140">
        <f>IF((RD[[#This Row],[34 kV_F3_Im
Incomer1]]-DR72)*1000&lt;0,0,(RD[[#This Row],[34 kV_F3_Im
Incomer1]]-DR72)*1000)</f>
        <v>300.00000000001137</v>
      </c>
      <c r="EJ73" s="140">
        <f>IF((RD[[#This Row],[33 kV_F4_Ex
Incomer2]]-DS72)*1000&lt;0,0,(RD[[#This Row],[33 kV_F4_Ex
Incomer2]]-DS72)*1000)</f>
        <v>128400.00000000146</v>
      </c>
      <c r="EK73" s="140">
        <f>IF((RD[[#This Row],[34 kV_F4_Im
Incomer2]]-DT72)*1000&lt;0,0,(RD[[#This Row],[34 kV_F4_Im
Incomer2]]-DT72)*1000)</f>
        <v>300.00000000001137</v>
      </c>
      <c r="EL73" s="140">
        <f>IF((RD[[#This Row],[33 kV_F5_Ex
Incomer3]]-DU72)*1000&lt;0,0,(RD[[#This Row],[33 kV_F5_Ex
Incomer3]]-DU72)*1000)</f>
        <v>166599.99999999854</v>
      </c>
      <c r="EM73" s="140">
        <f>IF((RD[[#This Row],[34 kV_F5_Im
Incomer3]]-DV72)*1000&lt;0,0,(RD[[#This Row],[34 kV_F5_Im
Incomer3]]-DV72)*1000)</f>
        <v>600.00000000002274</v>
      </c>
      <c r="EN73" s="140">
        <f>IF((RD[[#This Row],[33 kV_F6_Ex
Incomer4]]-DW72)*1000&lt;0,0,(RD[[#This Row],[33 kV_F6_Ex
Incomer4]]-DW72)*1000)</f>
        <v>15500</v>
      </c>
      <c r="EO73" s="140">
        <f t="shared" si="166"/>
        <v>300.00000000001137</v>
      </c>
      <c r="EP73" s="140">
        <f>IF((RD[[#This Row],[33 kV_F7_Ex
Incomer5]]-DY72)*1000&lt;0,0,(RD[[#This Row],[33 kV_F7_Ex
Incomer5]]-DY72)*1000)</f>
        <v>162100.00000000003</v>
      </c>
      <c r="EQ73" s="140">
        <f>IF((RD[[#This Row],[33 kV_F7_Im
Incomer5]]-DZ72)*1000&lt;0,0,(RD[[#This Row],[33 kV_F7_Im
Incomer5]]-DZ72)*1000)</f>
        <v>500</v>
      </c>
      <c r="ER73" s="140">
        <f>IF((RD[[#This Row],[33 kV_Aux Trafo]]-EA72)*1000&lt;0,0,(RD[[#This Row],[33 kV_Aux Trafo]]-EA72)*1000)</f>
        <v>270.00000000001023</v>
      </c>
      <c r="ES73" s="152">
        <f>IF((RD[[#This Row],[33kV_OG1_Ex_]]-EB72)*1&lt;0,0,(RD[[#This Row],[33kV_OG1_Ex_]]-EB72)*1)</f>
        <v>633217</v>
      </c>
      <c r="ET73" s="140">
        <f>IF((RD[[#This Row],[33kV_OG1_Im]]-EC72)*1&lt;0,0,(RD[[#This Row],[33kV_OG1_Im]]-EC72)*1)</f>
        <v>2109.8240000000224</v>
      </c>
      <c r="EU73" s="140">
        <f>IF((RD[[#This Row],[132kV_TX1_EX]]-ED72)*720&lt;=0,"",(RD[[#This Row],[132kV_TX1_EX]]-ED72)*720)</f>
        <v>2160</v>
      </c>
      <c r="EV73" s="140">
        <f>IF((RD[[#This Row],[132 kV_Tx1_Im]]-EE72)*720&lt;=0,0,(RD[[#This Row],[132 kV_Tx1_Im]]-EE72)*720)</f>
        <v>511920</v>
      </c>
      <c r="EW73" s="140">
        <f>IF((RD[[#This Row],[132kV_L1_Ex]]-EF72)*720&lt;=0,0,(RD[[#This Row],[132kV_L1_Ex]]-EF72)*720)</f>
        <v>631152.00000000419</v>
      </c>
      <c r="EX73" s="140">
        <f>IF((RD[[#This Row],[132kV_L1_Im]]-EG72)*720&lt;=0,0,(RD[[#This Row],[132kV_L1_Im]]-EG72)*720)</f>
        <v>2592.0000000000982</v>
      </c>
      <c r="EY73" s="231">
        <f>IFERROR(RD[[#This Row],[33kV_OG1_Ex (MWh)]]+RD[[#This Row],[33kV_OG1_Im (MWh)]],"")</f>
        <v>635326.82400000002</v>
      </c>
      <c r="EZ73" s="142">
        <f>RD[[#This Row],[33kV_OG1_Ex (MWh)]]-RD[[#This Row],[33kV_OG1_Im (MWh)]]</f>
        <v>631107.17599999998</v>
      </c>
      <c r="FA73" s="142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32">
        <f>IFERROR((RD[[#This Row],[Sunset Time (POA&lt;20 W/m2)]]-RD[[#This Row],[Sunrise Time (POA&gt;20 W/m2)]])*24,0)</f>
        <v>12.533333333333335</v>
      </c>
      <c r="FD73" s="233">
        <v>122.7</v>
      </c>
      <c r="FE73" t="s">
        <v>293</v>
      </c>
      <c r="FG73" s="138" t="str">
        <f>IFERROR(RD[[#This Row],[E_AC (WPR)]]/RD[[#This Row],[E_DC (WPR)]],"")</f>
        <v/>
      </c>
    </row>
    <row r="74" spans="1:163">
      <c r="A74" s="130">
        <f t="shared" si="161"/>
        <v>45814</v>
      </c>
      <c r="B74" s="132">
        <f>YEAR(RD[[#This Row],[Date]])+IF(MONTH(RD[[#This Row],[Date]])&gt;=4,1,0)</f>
        <v>2026</v>
      </c>
      <c r="C74" s="132">
        <f>YEAR(RD[[#This Row],[Date]])</f>
        <v>2025</v>
      </c>
      <c r="D74" s="133">
        <f t="shared" si="165"/>
        <v>45809</v>
      </c>
      <c r="E74" s="132">
        <f>DAY(EOMONTH(RD[[#This Row],[Date]],0))</f>
        <v>30</v>
      </c>
      <c r="F74" s="146">
        <v>0.25277777777777777</v>
      </c>
      <c r="G74" s="156">
        <v>0.7729166666666667</v>
      </c>
      <c r="H74" s="121">
        <v>8084.3</v>
      </c>
      <c r="I74" s="257">
        <v>7928.7</v>
      </c>
      <c r="J74" s="121">
        <v>7489.5</v>
      </c>
      <c r="K74" s="121">
        <v>7685.5</v>
      </c>
      <c r="L74" s="121">
        <v>7962.5</v>
      </c>
      <c r="M74" s="121">
        <v>8215.6</v>
      </c>
      <c r="N74" s="121">
        <v>7907.7</v>
      </c>
      <c r="O74" s="121">
        <v>8590</v>
      </c>
      <c r="P74" s="121">
        <v>7898.9</v>
      </c>
      <c r="Q74" s="121">
        <v>7809.3</v>
      </c>
      <c r="R74" s="121">
        <v>8123.4</v>
      </c>
      <c r="S74" s="255">
        <v>8102.8</v>
      </c>
      <c r="T74" s="121">
        <v>8327.1</v>
      </c>
      <c r="U74" s="121">
        <v>8232.7999999999993</v>
      </c>
      <c r="V74" s="121">
        <v>8169.1</v>
      </c>
      <c r="W74" s="121">
        <v>7825.5</v>
      </c>
      <c r="X74" s="255">
        <v>11133.8</v>
      </c>
      <c r="Y74" s="192">
        <v>12222.2</v>
      </c>
      <c r="Z74" s="192">
        <v>10708</v>
      </c>
      <c r="AA74" s="192">
        <v>11205.4</v>
      </c>
      <c r="AB74" s="255">
        <v>12104</v>
      </c>
      <c r="AC74" s="192">
        <v>7353.6</v>
      </c>
      <c r="AD74" s="192">
        <v>11306.6</v>
      </c>
      <c r="AE74" s="192">
        <v>11537.1</v>
      </c>
      <c r="AF74" s="255">
        <v>11164.4</v>
      </c>
      <c r="AG74" s="192">
        <v>11106</v>
      </c>
      <c r="AH74" s="192">
        <v>11124</v>
      </c>
      <c r="AI74" s="255">
        <v>11243.4</v>
      </c>
      <c r="AJ74" s="192">
        <v>9626.6</v>
      </c>
      <c r="AK74" s="255">
        <v>9863.2999999999993</v>
      </c>
      <c r="AL74" s="192">
        <v>9669.2000000000007</v>
      </c>
      <c r="AM74" s="255">
        <v>9692.7999999999993</v>
      </c>
      <c r="AN74" s="192">
        <v>9743.1</v>
      </c>
      <c r="AO74" s="255">
        <v>10070.6</v>
      </c>
      <c r="AP74" s="192">
        <v>9897.2999999999993</v>
      </c>
      <c r="AQ74" s="255">
        <v>9799.7999999999993</v>
      </c>
      <c r="AR74" s="192">
        <v>8031.9</v>
      </c>
      <c r="AS74" s="255">
        <v>8107.7</v>
      </c>
      <c r="AT74" s="192">
        <v>8053.3</v>
      </c>
      <c r="AU74" s="255">
        <v>7966.1</v>
      </c>
      <c r="AV74" s="192">
        <v>8223.7000000000007</v>
      </c>
      <c r="AW74" s="192">
        <v>8134.2</v>
      </c>
      <c r="AX74" s="192">
        <v>11357.5</v>
      </c>
      <c r="AY74" s="192">
        <v>12721.3</v>
      </c>
      <c r="AZ74" s="192">
        <v>9299.7999999999993</v>
      </c>
      <c r="BA74" s="192">
        <v>11318.6</v>
      </c>
      <c r="BB74" s="192">
        <v>9769</v>
      </c>
      <c r="BC74" s="192">
        <v>9550</v>
      </c>
      <c r="BD74" s="192">
        <v>9904</v>
      </c>
      <c r="BE74" s="192">
        <v>11220</v>
      </c>
      <c r="BF74" s="192">
        <v>12372</v>
      </c>
      <c r="BG74" s="192">
        <v>12395</v>
      </c>
      <c r="BH74" s="192">
        <v>12041</v>
      </c>
      <c r="BI74" s="192">
        <v>12292</v>
      </c>
      <c r="BJ74" s="192">
        <v>8155</v>
      </c>
      <c r="BK74" s="192">
        <v>6577</v>
      </c>
      <c r="BL74" s="192">
        <v>7458</v>
      </c>
      <c r="BM74" s="192">
        <v>7701</v>
      </c>
      <c r="BN74" s="192">
        <v>8563</v>
      </c>
      <c r="BO74" s="192">
        <v>8204</v>
      </c>
      <c r="BP74" s="192">
        <v>8756</v>
      </c>
      <c r="BQ74" s="192">
        <v>8779</v>
      </c>
      <c r="BR74" s="192">
        <v>8897</v>
      </c>
      <c r="BS74" s="192">
        <v>9163</v>
      </c>
      <c r="BT74" s="192">
        <v>9052</v>
      </c>
      <c r="BU74" s="192">
        <v>9439</v>
      </c>
      <c r="BV74" s="192"/>
      <c r="BW74" s="192"/>
      <c r="BX74" s="192"/>
      <c r="BY74" s="192"/>
      <c r="BZ74" s="192">
        <v>1232</v>
      </c>
      <c r="CA74" s="192">
        <v>1044</v>
      </c>
      <c r="CB74" s="192">
        <v>4787</v>
      </c>
      <c r="CC74" s="192">
        <v>7999</v>
      </c>
      <c r="CD74" s="250">
        <v>6.1054593333333464</v>
      </c>
      <c r="CE74" s="250">
        <v>6.4430678833333204</v>
      </c>
      <c r="CF74" s="250">
        <v>6.4355745999999954</v>
      </c>
      <c r="CG74" s="250">
        <v>6.6994924999999892</v>
      </c>
      <c r="CH74" s="250">
        <v>0.78388908333333429</v>
      </c>
      <c r="CI74" s="250">
        <v>6.4430678833333204</v>
      </c>
      <c r="CJ74" s="250">
        <v>1.087846399999999</v>
      </c>
      <c r="CK74" s="250">
        <v>1.014569033333333</v>
      </c>
      <c r="CL74" s="250">
        <v>31.874053231939119</v>
      </c>
      <c r="CM74" s="250">
        <v>32.140728862973845</v>
      </c>
      <c r="CN74" s="250">
        <v>45.226208365018962</v>
      </c>
      <c r="CO74" s="250">
        <v>43.342778425655951</v>
      </c>
      <c r="CP74" s="250">
        <v>51.926783269961987</v>
      </c>
      <c r="CQ74" s="250">
        <v>52.110430029154571</v>
      </c>
      <c r="CR74" s="250">
        <v>0</v>
      </c>
      <c r="CS74" s="250">
        <v>0</v>
      </c>
      <c r="CT74" s="250">
        <v>1.2547756653992401</v>
      </c>
      <c r="CU74" s="250">
        <v>1.2394919825072883</v>
      </c>
      <c r="CV74" s="250">
        <v>2.7570000000000001</v>
      </c>
      <c r="CW74" s="250">
        <v>2.8860000000000001</v>
      </c>
      <c r="CX74" s="193">
        <f>IFERROR(AVERAGEIF(RD[[#This Row],[IS1POA1 (KWh/m2)]:[IS7POA2 (KWh/m2)]],"&lt;&gt;0",RD[[#This Row],[IS1POA1 (KWh/m2)]:[IS7POA2 (KWh/m2)]]),"")</f>
        <v>6.2742636083333334</v>
      </c>
      <c r="CY74" s="193">
        <f>IFERROR(AVERAGEIF(RD[[#This Row],[IS1GHI1 (KWh/m2)]:[IS7GHI2 (KWh/m2)]],"&lt;&gt;0",RD[[#This Row],[IS1GHI1 (KWh/m2)]:[IS7GHI2 (KWh/m2)]]),"")</f>
        <v>6.5675335499999923</v>
      </c>
      <c r="CZ74" s="193">
        <f>IFERROR(AVERAGEIF(RD[[#This Row],[IS1POA_BS1 (KWh/m2)]:[IS7POA_BS2 (KWh/m2)]],"&lt;&gt;0",RD[[#This Row],[IS1POA_BS1 (KWh/m2)]:[IS7POA_BS2 (KWh/m2)]]),"")</f>
        <v>3.6134784833333273</v>
      </c>
      <c r="DA74" s="193">
        <f>IFERROR(AVERAGEIF(RD[[#This Row],[IS1GHI_BS1 (KWh/m2)]:[IS1GHI_BS1 (KWh/m2)2]],"&lt;&gt;0",RD[[#This Row],[IS1GHI_BS1 (KWh/m2)]:[IS1GHI_BS1 (KWh/m2)2]]),"")</f>
        <v>1.051207716666666</v>
      </c>
      <c r="DB74" s="193">
        <f>IFERROR(AVERAGEIF(RD[[#This Row],[IS1AT1 (°C)]:[IS7AT2 (°C)]],"&lt;&gt;0",RD[[#This Row],[IS1AT1 (°C)]:[IS7AT2 (°C)]]),"")</f>
        <v>32.00739104745648</v>
      </c>
      <c r="DC74" s="193">
        <f>IFERROR(AVERAGEIF(RD[[#This Row],[IS1MT1 (°C)]:[IS7MT2 (°C)]],"&lt;&gt;0",RD[[#This Row],[IS1MT1 (°C)]:[IS7MT2 (°C)]]),"")</f>
        <v>44.284493395337456</v>
      </c>
      <c r="DD74" s="193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193">
        <f>IFERROR(AVERAGEIF(RD[[#This Row],[WS_Solar1_Avg (m/s)]:[IS7_WS_Solar1_Avg (m/s)]],"&lt;&gt;0",RD[[#This Row],[WS_Solar1_Avg (m/s)]:[IS7_WS_Solar1_Avg (m/s)]]),"")</f>
        <v>1.2471338239532641</v>
      </c>
      <c r="DG74" s="193">
        <f>IFERROR(AVERAGEIF(RD[[#This Row],[WS_Solar1_Max (m/s)]:[IS7_WS_Solar1_Max (m/s)]],"&lt;&gt;0",RD[[#This Row],[WS_Solar1_Max (m/s)]:[IS7_WS_Solar1_Max (m/s)]]),"")</f>
        <v>2.8215000000000003</v>
      </c>
      <c r="DH74" s="193">
        <f>SUM(RD[[#This Row],[IS1Inv1M1]:[IS4Inv4M2]])</f>
        <v>260561.2</v>
      </c>
      <c r="DI74" s="194">
        <f>SUM(RD[[#This Row],[IS7Inv1M1]]+RD[[#This Row],[IS7Inv2M1]])</f>
        <v>16139.599999999999</v>
      </c>
      <c r="DJ74" s="193">
        <f>SUM(RD[[#This Row],[IS5Inv1M1]:[IS5Inv2M2]])</f>
        <v>38851.9</v>
      </c>
      <c r="DK74" s="193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75">
        <f>SUM(RD[[#This Row],[IS12Inv1M1]:[IS12Inv1M4]])</f>
        <v>34302</v>
      </c>
      <c r="DO74" s="275">
        <f>SUM(RD[[#This Row],[IS13Inv1M1]:[IS13Inv2M2]])</f>
        <v>36551</v>
      </c>
      <c r="DP74" s="193">
        <f>SUM(RD[[#This Row],[O2R15]:[O2R26]])</f>
        <v>637487</v>
      </c>
      <c r="DQ74" s="158">
        <v>42413.5</v>
      </c>
      <c r="DR74" s="162">
        <v>217.3</v>
      </c>
      <c r="DS74" s="158">
        <v>36891.599999999999</v>
      </c>
      <c r="DT74" s="158">
        <v>229.9</v>
      </c>
      <c r="DU74" s="162">
        <v>43260.7</v>
      </c>
      <c r="DV74" s="162">
        <v>412.6</v>
      </c>
      <c r="DW74" s="158">
        <v>10206.299999999999</v>
      </c>
      <c r="DX74" s="162">
        <v>50.5</v>
      </c>
      <c r="DY74" s="162">
        <v>842.4</v>
      </c>
      <c r="DZ74" s="162">
        <v>2.9</v>
      </c>
      <c r="EA74" s="134">
        <v>100.13</v>
      </c>
      <c r="EB74" s="230">
        <v>137083346</v>
      </c>
      <c r="EC74" s="229">
        <v>976484.67200000002</v>
      </c>
      <c r="ED74" s="230">
        <v>1174</v>
      </c>
      <c r="EE74" s="230">
        <v>131336</v>
      </c>
      <c r="EF74" s="158">
        <v>190085.3</v>
      </c>
      <c r="EG74" s="158">
        <v>1903.1</v>
      </c>
      <c r="EH74" s="140">
        <f>IF((RD[[#This Row],[33 kV_F3_Ex
Incomer1]]-DQ73)*1000&lt;0,0,(RD[[#This Row],[33 kV_F3_Ex
Incomer1]]-DQ73)*1000)</f>
        <v>131199.99999999709</v>
      </c>
      <c r="EI74" s="140">
        <f>IF((RD[[#This Row],[34 kV_F3_Im
Incomer1]]-DR73)*1000&lt;0,0,(RD[[#This Row],[34 kV_F3_Im
Incomer1]]-DR73)*1000)</f>
        <v>400.00000000000568</v>
      </c>
      <c r="EJ74" s="140">
        <f>IF((RD[[#This Row],[33 kV_F4_Ex
Incomer2]]-DS73)*1000&lt;0,0,(RD[[#This Row],[33 kV_F4_Ex
Incomer2]]-DS73)*1000)</f>
        <v>125099.99999999854</v>
      </c>
      <c r="EK74" s="140">
        <f>IF((RD[[#This Row],[34 kV_F4_Im
Incomer2]]-DT73)*1000&lt;0,0,(RD[[#This Row],[34 kV_F4_Im
Incomer2]]-DT73)*1000)</f>
        <v>400.00000000000568</v>
      </c>
      <c r="EL74" s="140">
        <f>IF((RD[[#This Row],[33 kV_F5_Ex
Incomer3]]-DU73)*1000&lt;0,0,(RD[[#This Row],[33 kV_F5_Ex
Incomer3]]-DU73)*1000)</f>
        <v>169199.99999999709</v>
      </c>
      <c r="EM74" s="140">
        <f>IF((RD[[#This Row],[34 kV_F5_Im
Incomer3]]-DV73)*1000&lt;0,0,(RD[[#This Row],[34 kV_F5_Im
Incomer3]]-DV73)*1000)</f>
        <v>800.00000000001137</v>
      </c>
      <c r="EN74" s="140">
        <f>IF((RD[[#This Row],[33 kV_F6_Ex
Incomer4]]-DW73)*1000&lt;0,0,(RD[[#This Row],[33 kV_F6_Ex
Incomer4]]-DW73)*1000)</f>
        <v>14899.999999999636</v>
      </c>
      <c r="EO74" s="140">
        <f t="shared" si="166"/>
        <v>300.00000000001137</v>
      </c>
      <c r="EP74" s="140">
        <f>IF((RD[[#This Row],[33 kV_F7_Ex
Incomer5]]-DY73)*1000&lt;0,0,(RD[[#This Row],[33 kV_F7_Ex
Incomer5]]-DY73)*1000)</f>
        <v>163399.99999999997</v>
      </c>
      <c r="EQ74" s="140">
        <f>IF((RD[[#This Row],[33 kV_F7_Im
Incomer5]]-DZ73)*1000&lt;0,0,(RD[[#This Row],[33 kV_F7_Im
Incomer5]]-DZ73)*1000)</f>
        <v>500</v>
      </c>
      <c r="ER74" s="140">
        <f>IF((RD[[#This Row],[33 kV_Aux Trafo]]-EA73)*1000&lt;0,0,(RD[[#This Row],[33 kV_Aux Trafo]]-EA73)*1000)</f>
        <v>289.99999999999204</v>
      </c>
      <c r="ES74" s="152">
        <f>IF((RD[[#This Row],[33kV_OG1_Ex_]]-EB73)*1&lt;0,0,(RD[[#This Row],[33kV_OG1_Ex_]]-EB73)*1)</f>
        <v>627236</v>
      </c>
      <c r="ET74" s="140">
        <f>IF((RD[[#This Row],[33kV_OG1_Im]]-EC73)*1&lt;0,0,(RD[[#This Row],[33kV_OG1_Im]]-EC73)*1)</f>
        <v>2441.2160000000149</v>
      </c>
      <c r="EU74" s="140">
        <f>IF((RD[[#This Row],[132kV_TX1_EX]]-ED73)*720&lt;=0,"",(RD[[#This Row],[132kV_TX1_EX]]-ED73)*720)</f>
        <v>2160</v>
      </c>
      <c r="EV74" s="140">
        <f>IF((RD[[#This Row],[132 kV_Tx1_Im]]-EE73)*720&lt;=0,0,(RD[[#This Row],[132 kV_Tx1_Im]]-EE73)*720)</f>
        <v>449280</v>
      </c>
      <c r="EW74" s="140">
        <f>IF((RD[[#This Row],[132kV_L1_Ex]]-EF73)*720&lt;=0,0,(RD[[#This Row],[132kV_L1_Ex]]-EF73)*720)</f>
        <v>625175.99999999162</v>
      </c>
      <c r="EX74" s="140">
        <f>IF((RD[[#This Row],[132kV_L1_Im]]-EG73)*720&lt;=0,0,(RD[[#This Row],[132kV_L1_Im]]-EG73)*720)</f>
        <v>3023.999999999869</v>
      </c>
      <c r="EY74" s="231">
        <f>IFERROR(RD[[#This Row],[33kV_OG1_Ex (MWh)]]+RD[[#This Row],[33kV_OG1_Im (MWh)]],"")</f>
        <v>629677.21600000001</v>
      </c>
      <c r="EZ74" s="142">
        <f>RD[[#This Row],[33kV_OG1_Ex (MWh)]]-RD[[#This Row],[33kV_OG1_Im (MWh)]]</f>
        <v>624794.78399999999</v>
      </c>
      <c r="FA74" s="142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32">
        <f>IFERROR((RD[[#This Row],[Sunset Time (POA&lt;20 W/m2)]]-RD[[#This Row],[Sunrise Time (POA&gt;20 W/m2)]])*24,0)</f>
        <v>12.483333333333334</v>
      </c>
      <c r="FD74" s="233">
        <v>122.7</v>
      </c>
      <c r="FE74" t="s">
        <v>293</v>
      </c>
      <c r="FG74" s="138" t="str">
        <f>IFERROR(RD[[#This Row],[E_AC (WPR)]]/RD[[#This Row],[E_DC (WPR)]],"")</f>
        <v/>
      </c>
    </row>
    <row r="75" spans="1:163">
      <c r="A75" s="130">
        <f t="shared" si="161"/>
        <v>45815</v>
      </c>
      <c r="B75" s="132">
        <f>YEAR(RD[[#This Row],[Date]])+IF(MONTH(RD[[#This Row],[Date]])&gt;=4,1,0)</f>
        <v>2026</v>
      </c>
      <c r="C75" s="132">
        <f>YEAR(RD[[#This Row],[Date]])</f>
        <v>2025</v>
      </c>
      <c r="D75" s="133">
        <f t="shared" si="165"/>
        <v>45809</v>
      </c>
      <c r="E75" s="132">
        <f>DAY(EOMONTH(RD[[#This Row],[Date]],0))</f>
        <v>30</v>
      </c>
      <c r="F75" s="146">
        <v>0.25208333333333333</v>
      </c>
      <c r="G75" s="156">
        <v>0.77708333333333335</v>
      </c>
      <c r="H75" s="121">
        <v>7710.6</v>
      </c>
      <c r="I75" s="257">
        <v>7646.2</v>
      </c>
      <c r="J75" s="121">
        <v>7228</v>
      </c>
      <c r="K75" s="121">
        <v>7291.9</v>
      </c>
      <c r="L75" s="121">
        <v>7515.8</v>
      </c>
      <c r="M75" s="121">
        <v>7762.1</v>
      </c>
      <c r="N75" s="121">
        <v>7533.9</v>
      </c>
      <c r="O75" s="121">
        <v>8116.7</v>
      </c>
      <c r="P75" s="121">
        <v>7661.1</v>
      </c>
      <c r="Q75" s="121">
        <v>7484.4</v>
      </c>
      <c r="R75" s="121">
        <v>7806.7</v>
      </c>
      <c r="S75" s="255">
        <v>7844.5</v>
      </c>
      <c r="T75" s="121">
        <v>8078.6</v>
      </c>
      <c r="U75" s="121">
        <v>7953.7</v>
      </c>
      <c r="V75" s="121">
        <v>7910.9</v>
      </c>
      <c r="W75" s="121">
        <v>7645.5</v>
      </c>
      <c r="X75" s="255">
        <v>10817.7</v>
      </c>
      <c r="Y75" s="192">
        <v>11916.2</v>
      </c>
      <c r="Z75" s="192">
        <v>10419.5</v>
      </c>
      <c r="AA75" s="192">
        <v>10878.3</v>
      </c>
      <c r="AB75" s="255">
        <v>11961.3</v>
      </c>
      <c r="AC75" s="192">
        <v>7275.2</v>
      </c>
      <c r="AD75" s="192">
        <v>11258.2</v>
      </c>
      <c r="AE75" s="192">
        <v>11448.1</v>
      </c>
      <c r="AF75" s="255">
        <v>11162.5</v>
      </c>
      <c r="AG75" s="192">
        <v>11140</v>
      </c>
      <c r="AH75" s="192">
        <v>11111</v>
      </c>
      <c r="AI75" s="255">
        <v>11186.3</v>
      </c>
      <c r="AJ75" s="192">
        <v>9284.6</v>
      </c>
      <c r="AK75" s="255">
        <v>9512</v>
      </c>
      <c r="AL75" s="192">
        <v>9312.5</v>
      </c>
      <c r="AM75" s="255">
        <v>9375.9</v>
      </c>
      <c r="AN75" s="192">
        <v>9334.7000000000007</v>
      </c>
      <c r="AO75" s="255">
        <v>9629</v>
      </c>
      <c r="AP75" s="192">
        <v>9467.4</v>
      </c>
      <c r="AQ75" s="255">
        <v>9335</v>
      </c>
      <c r="AR75" s="192">
        <v>7604</v>
      </c>
      <c r="AS75" s="255">
        <v>7648</v>
      </c>
      <c r="AT75" s="192">
        <v>7687.7</v>
      </c>
      <c r="AU75" s="255">
        <v>7627.7</v>
      </c>
      <c r="AV75" s="192">
        <v>7815.4</v>
      </c>
      <c r="AW75" s="192">
        <v>7688.9</v>
      </c>
      <c r="AX75" s="192">
        <v>10841.4</v>
      </c>
      <c r="AY75" s="192">
        <v>12169.9</v>
      </c>
      <c r="AZ75" s="192">
        <v>8766.7999999999993</v>
      </c>
      <c r="BA75" s="192">
        <v>10532.2</v>
      </c>
      <c r="BB75" s="192">
        <v>8686.7999999999993</v>
      </c>
      <c r="BC75" s="192">
        <v>8546.1</v>
      </c>
      <c r="BD75" s="192">
        <v>8885.1</v>
      </c>
      <c r="BE75" s="192">
        <v>9868.4</v>
      </c>
      <c r="BF75" s="192">
        <v>11380</v>
      </c>
      <c r="BG75" s="192">
        <v>11288</v>
      </c>
      <c r="BH75" s="192">
        <v>10444</v>
      </c>
      <c r="BI75" s="192">
        <v>10765</v>
      </c>
      <c r="BJ75" s="192">
        <v>8070</v>
      </c>
      <c r="BK75" s="192">
        <v>6176</v>
      </c>
      <c r="BL75" s="192">
        <v>7265</v>
      </c>
      <c r="BM75" s="192">
        <v>7566</v>
      </c>
      <c r="BN75" s="192">
        <v>8377</v>
      </c>
      <c r="BO75" s="192">
        <v>8035</v>
      </c>
      <c r="BP75" s="192">
        <v>8595</v>
      </c>
      <c r="BQ75" s="192">
        <v>8698</v>
      </c>
      <c r="BR75" s="192">
        <v>8400</v>
      </c>
      <c r="BS75" s="192">
        <v>8661.4</v>
      </c>
      <c r="BT75" s="192">
        <v>8331</v>
      </c>
      <c r="BU75" s="192">
        <v>8696.9</v>
      </c>
      <c r="BV75" s="192"/>
      <c r="BW75" s="192"/>
      <c r="BX75" s="192"/>
      <c r="BY75" s="192"/>
      <c r="BZ75" s="192">
        <v>1160</v>
      </c>
      <c r="CA75" s="192">
        <v>9570</v>
      </c>
      <c r="CB75" s="192">
        <v>3820</v>
      </c>
      <c r="CC75" s="192">
        <v>6870</v>
      </c>
      <c r="CD75" s="250">
        <v>5.7960502833333338</v>
      </c>
      <c r="CE75" s="250">
        <v>6.0680984166666674</v>
      </c>
      <c r="CF75" s="250">
        <v>6.1151253499999898</v>
      </c>
      <c r="CG75" s="250">
        <v>6.2708443000000038</v>
      </c>
      <c r="CH75" s="250">
        <v>0.76153498333333347</v>
      </c>
      <c r="CI75" s="250">
        <v>0.85667150000000047</v>
      </c>
      <c r="CJ75" s="250">
        <v>1.0290000666666672</v>
      </c>
      <c r="CK75" s="250">
        <v>0.95406794999999955</v>
      </c>
      <c r="CL75" s="250">
        <v>32.622713241267306</v>
      </c>
      <c r="CM75" s="250">
        <v>33.012502024291521</v>
      </c>
      <c r="CN75" s="250">
        <v>46.200777416734311</v>
      </c>
      <c r="CO75" s="250">
        <v>44.658548987854282</v>
      </c>
      <c r="CP75" s="250">
        <v>52.244955320877345</v>
      </c>
      <c r="CQ75" s="250">
        <v>52.379692307692288</v>
      </c>
      <c r="CR75" s="250">
        <v>0</v>
      </c>
      <c r="CS75" s="250">
        <v>0</v>
      </c>
      <c r="CT75" s="250">
        <v>1.4490779853777445</v>
      </c>
      <c r="CU75" s="250">
        <v>1.544555465587045</v>
      </c>
      <c r="CV75" s="250">
        <v>3.177</v>
      </c>
      <c r="CW75" s="250">
        <v>2.94</v>
      </c>
      <c r="CX75" s="193">
        <f>IFERROR(AVERAGEIF(RD[[#This Row],[IS1POA1 (KWh/m2)]:[IS7POA2 (KWh/m2)]],"&lt;&gt;0",RD[[#This Row],[IS1POA1 (KWh/m2)]:[IS7POA2 (KWh/m2)]]),"")</f>
        <v>5.9320743500000006</v>
      </c>
      <c r="CY75" s="193">
        <f>IFERROR(AVERAGEIF(RD[[#This Row],[IS1GHI1 (KWh/m2)]:[IS7GHI2 (KWh/m2)]],"&lt;&gt;0",RD[[#This Row],[IS1GHI1 (KWh/m2)]:[IS7GHI2 (KWh/m2)]]),"")</f>
        <v>6.1929848249999964</v>
      </c>
      <c r="CZ75" s="193">
        <f>IFERROR(AVERAGEIF(RD[[#This Row],[IS1POA_BS1 (KWh/m2)]:[IS7POA_BS2 (KWh/m2)]],"&lt;&gt;0",RD[[#This Row],[IS1POA_BS1 (KWh/m2)]:[IS7POA_BS2 (KWh/m2)]]),"")</f>
        <v>0.80910324166666703</v>
      </c>
      <c r="DA75" s="193">
        <f>IFERROR(AVERAGEIF(RD[[#This Row],[IS1GHI_BS1 (KWh/m2)]:[IS1GHI_BS1 (KWh/m2)2]],"&lt;&gt;0",RD[[#This Row],[IS1GHI_BS1 (KWh/m2)]:[IS1GHI_BS1 (KWh/m2)2]]),"")</f>
        <v>0.99153400833333338</v>
      </c>
      <c r="DB75" s="193">
        <f>IFERROR(AVERAGEIF(RD[[#This Row],[IS1AT1 (°C)]:[IS7AT2 (°C)]],"&lt;&gt;0",RD[[#This Row],[IS1AT1 (°C)]:[IS7AT2 (°C)]]),"")</f>
        <v>32.817607632779414</v>
      </c>
      <c r="DC75" s="193">
        <f>IFERROR(AVERAGEIF(RD[[#This Row],[IS1MT1 (°C)]:[IS7MT2 (°C)]],"&lt;&gt;0",RD[[#This Row],[IS1MT1 (°C)]:[IS7MT2 (°C)]]),"")</f>
        <v>45.429663202294293</v>
      </c>
      <c r="DD75" s="193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193">
        <f>IFERROR(AVERAGEIF(RD[[#This Row],[WS_Solar1_Avg (m/s)]:[IS7_WS_Solar1_Avg (m/s)]],"&lt;&gt;0",RD[[#This Row],[WS_Solar1_Avg (m/s)]:[IS7_WS_Solar1_Avg (m/s)]]),"")</f>
        <v>1.4968167254823947</v>
      </c>
      <c r="DG75" s="193">
        <f>IFERROR(AVERAGEIF(RD[[#This Row],[WS_Solar1_Max (m/s)]:[IS7_WS_Solar1_Max (m/s)]],"&lt;&gt;0",RD[[#This Row],[WS_Solar1_Max (m/s)]:[IS7_WS_Solar1_Max (m/s)]]),"")</f>
        <v>3.0585</v>
      </c>
      <c r="DH75" s="193">
        <f>SUM(RD[[#This Row],[IS1Inv1M1]:[IS4Inv4M2]])</f>
        <v>253764.9</v>
      </c>
      <c r="DI75" s="194">
        <f>SUM(RD[[#This Row],[IS7Inv1M1]]+RD[[#This Row],[IS7Inv2M1]])</f>
        <v>15252</v>
      </c>
      <c r="DJ75" s="193">
        <f>SUM(RD[[#This Row],[IS5Inv1M1]:[IS5Inv2M2]])</f>
        <v>37485</v>
      </c>
      <c r="DK75" s="193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75">
        <f>SUM(RD[[#This Row],[IS12Inv1M1]:[IS12Inv1M4]])</f>
        <v>33705</v>
      </c>
      <c r="DO75" s="275">
        <f>SUM(RD[[#This Row],[IS13Inv1M1]:[IS13Inv2M2]])</f>
        <v>34089.300000000003</v>
      </c>
      <c r="DP75" s="193">
        <f>SUM(RD[[#This Row],[O2R15]:[O2R26]])</f>
        <v>615552.70000000007</v>
      </c>
      <c r="DQ75" s="158">
        <v>42543.1</v>
      </c>
      <c r="DR75" s="162">
        <v>217.7</v>
      </c>
      <c r="DS75" s="158">
        <v>37012</v>
      </c>
      <c r="DT75" s="158">
        <v>230.2</v>
      </c>
      <c r="DU75" s="162">
        <v>43422.1</v>
      </c>
      <c r="DV75" s="162">
        <v>413.1</v>
      </c>
      <c r="DW75" s="158">
        <v>10220.5</v>
      </c>
      <c r="DX75" s="162">
        <v>50.6</v>
      </c>
      <c r="DY75" s="162">
        <v>988.2</v>
      </c>
      <c r="DZ75" s="162">
        <v>3.3</v>
      </c>
      <c r="EA75" s="134">
        <v>100.39</v>
      </c>
      <c r="EB75" s="230">
        <v>137675423</v>
      </c>
      <c r="EC75" s="229">
        <v>978373.696</v>
      </c>
      <c r="ED75" s="230">
        <v>1176</v>
      </c>
      <c r="EE75" s="230">
        <v>131926</v>
      </c>
      <c r="EF75" s="158">
        <v>190904.9</v>
      </c>
      <c r="EG75" s="158">
        <v>1906.3</v>
      </c>
      <c r="EH75" s="140">
        <f>IF((RD[[#This Row],[33 kV_F3_Ex
Incomer1]]-DQ74)*1000&lt;0,0,(RD[[#This Row],[33 kV_F3_Ex
Incomer1]]-DQ74)*1000)</f>
        <v>129599.99999999854</v>
      </c>
      <c r="EI75" s="140">
        <f>IF((RD[[#This Row],[34 kV_F3_Im
Incomer1]]-DR74)*1000&lt;0,0,(RD[[#This Row],[34 kV_F3_Im
Incomer1]]-DR74)*1000)</f>
        <v>399.99999999997726</v>
      </c>
      <c r="EJ75" s="140">
        <f>IF((RD[[#This Row],[33 kV_F4_Ex
Incomer2]]-DS74)*1000&lt;0,0,(RD[[#This Row],[33 kV_F4_Ex
Incomer2]]-DS74)*1000)</f>
        <v>120400.00000000146</v>
      </c>
      <c r="EK75" s="140">
        <f>IF((RD[[#This Row],[34 kV_F4_Im
Incomer2]]-DT74)*1000&lt;0,0,(RD[[#This Row],[34 kV_F4_Im
Incomer2]]-DT74)*1000)</f>
        <v>299.99999999998295</v>
      </c>
      <c r="EL75" s="140">
        <f>IF((RD[[#This Row],[33 kV_F5_Ex
Incomer3]]-DU74)*1000&lt;0,0,(RD[[#This Row],[33 kV_F5_Ex
Incomer3]]-DU74)*1000)</f>
        <v>161400.00000000146</v>
      </c>
      <c r="EM75" s="140">
        <f>IF((RD[[#This Row],[34 kV_F5_Im
Incomer3]]-DV74)*1000&lt;0,0,(RD[[#This Row],[34 kV_F5_Im
Incomer3]]-DV74)*1000)</f>
        <v>500</v>
      </c>
      <c r="EN75" s="140">
        <f>IF((RD[[#This Row],[33 kV_F6_Ex
Incomer4]]-DW74)*1000&lt;0,0,(RD[[#This Row],[33 kV_F6_Ex
Incomer4]]-DW74)*1000)</f>
        <v>14200.000000000728</v>
      </c>
      <c r="EO75" s="140">
        <f t="shared" si="166"/>
        <v>399.99999999997726</v>
      </c>
      <c r="EP75" s="140">
        <f>IF((RD[[#This Row],[33 kV_F7_Ex
Incomer5]]-DY74)*1000&lt;0,0,(RD[[#This Row],[33 kV_F7_Ex
Incomer5]]-DY74)*1000)</f>
        <v>145800.00000000006</v>
      </c>
      <c r="EQ75" s="140">
        <f>IF((RD[[#This Row],[33 kV_F7_Im
Incomer5]]-DZ74)*1000&lt;0,0,(RD[[#This Row],[33 kV_F7_Im
Incomer5]]-DZ74)*1000)</f>
        <v>399.99999999999989</v>
      </c>
      <c r="ER75" s="140">
        <f>IF((RD[[#This Row],[33 kV_Aux Trafo]]-EA74)*1000&lt;0,0,(RD[[#This Row],[33 kV_Aux Trafo]]-EA74)*1000)</f>
        <v>260.00000000000512</v>
      </c>
      <c r="ES75" s="152">
        <f>IF((RD[[#This Row],[33kV_OG1_Ex_]]-EB74)*1&lt;0,0,(RD[[#This Row],[33kV_OG1_Ex_]]-EB74)*1)</f>
        <v>592077</v>
      </c>
      <c r="ET75" s="140">
        <f>IF((RD[[#This Row],[33kV_OG1_Im]]-EC74)*1&lt;0,0,(RD[[#This Row],[33kV_OG1_Im]]-EC74)*1)</f>
        <v>1889.0239999999758</v>
      </c>
      <c r="EU75" s="140">
        <f>IF((RD[[#This Row],[132kV_TX1_EX]]-ED74)*720&lt;=0,"",(RD[[#This Row],[132kV_TX1_EX]]-ED74)*720)</f>
        <v>1440</v>
      </c>
      <c r="EV75" s="140">
        <f>IF((RD[[#This Row],[132 kV_Tx1_Im]]-EE74)*720&lt;=0,0,(RD[[#This Row],[132 kV_Tx1_Im]]-EE74)*720)</f>
        <v>424800</v>
      </c>
      <c r="EW75" s="140">
        <f>IF((RD[[#This Row],[132kV_L1_Ex]]-EF74)*720&lt;=0,0,(RD[[#This Row],[132kV_L1_Ex]]-EF74)*720)</f>
        <v>590112.00000000419</v>
      </c>
      <c r="EX75" s="140">
        <f>IF((RD[[#This Row],[132kV_L1_Im]]-EG74)*720&lt;=0,0,(RD[[#This Row],[132kV_L1_Im]]-EG74)*720)</f>
        <v>2304.0000000000327</v>
      </c>
      <c r="EY75" s="231">
        <f>IFERROR(RD[[#This Row],[33kV_OG1_Ex (MWh)]]+RD[[#This Row],[33kV_OG1_Im (MWh)]],"")</f>
        <v>593966.02399999998</v>
      </c>
      <c r="EZ75" s="142">
        <f>RD[[#This Row],[33kV_OG1_Ex (MWh)]]-RD[[#This Row],[33kV_OG1_Im (MWh)]]</f>
        <v>590187.97600000002</v>
      </c>
      <c r="FA75" s="142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32">
        <f>IFERROR((RD[[#This Row],[Sunset Time (POA&lt;20 W/m2)]]-RD[[#This Row],[Sunrise Time (POA&gt;20 W/m2)]])*24,0)</f>
        <v>12.600000000000001</v>
      </c>
      <c r="FD75" s="233">
        <v>122.7</v>
      </c>
      <c r="FE75" t="s">
        <v>293</v>
      </c>
      <c r="FG75" s="138" t="str">
        <f>IFERROR(RD[[#This Row],[E_AC (WPR)]]/RD[[#This Row],[E_DC (WPR)]],"")</f>
        <v/>
      </c>
    </row>
    <row r="76" spans="1:163">
      <c r="A76" s="130">
        <f t="shared" si="161"/>
        <v>45816</v>
      </c>
      <c r="B76" s="132">
        <f>YEAR(RD[[#This Row],[Date]])+IF(MONTH(RD[[#This Row],[Date]])&gt;=4,1,0)</f>
        <v>2026</v>
      </c>
      <c r="C76" s="132">
        <f>YEAR(RD[[#This Row],[Date]])</f>
        <v>2025</v>
      </c>
      <c r="D76" s="133">
        <f t="shared" si="165"/>
        <v>45809</v>
      </c>
      <c r="E76" s="132">
        <f>DAY(EOMONTH(RD[[#This Row],[Date]],0))</f>
        <v>30</v>
      </c>
      <c r="F76" s="146">
        <v>0.25555555555555554</v>
      </c>
      <c r="G76" s="156">
        <v>0.78125</v>
      </c>
      <c r="H76" s="121">
        <v>8389.9</v>
      </c>
      <c r="I76" s="257">
        <v>8310</v>
      </c>
      <c r="J76" s="121">
        <v>7918.4</v>
      </c>
      <c r="K76" s="121">
        <v>7994.6</v>
      </c>
      <c r="L76" s="121">
        <v>8204.7999999999993</v>
      </c>
      <c r="M76" s="121">
        <v>8435.6</v>
      </c>
      <c r="N76" s="121">
        <v>8244.7000000000007</v>
      </c>
      <c r="O76" s="121">
        <v>8808</v>
      </c>
      <c r="P76" s="121">
        <v>8285.2000000000007</v>
      </c>
      <c r="Q76" s="121">
        <v>8135.1</v>
      </c>
      <c r="R76" s="121">
        <v>8407.5</v>
      </c>
      <c r="S76" s="255">
        <v>8421.2999999999993</v>
      </c>
      <c r="T76" s="121">
        <v>8666.5</v>
      </c>
      <c r="U76" s="121">
        <v>8414.6</v>
      </c>
      <c r="V76" s="121">
        <v>8535.7000000000007</v>
      </c>
      <c r="W76" s="121">
        <v>8323.9</v>
      </c>
      <c r="X76" s="255">
        <v>11615.2</v>
      </c>
      <c r="Y76" s="192">
        <v>12505.8</v>
      </c>
      <c r="Z76" s="192">
        <v>11333.6</v>
      </c>
      <c r="AA76" s="192">
        <v>11812.1</v>
      </c>
      <c r="AB76" s="255">
        <v>12216.1</v>
      </c>
      <c r="AC76" s="192">
        <v>7390</v>
      </c>
      <c r="AD76" s="192">
        <v>11510.8</v>
      </c>
      <c r="AE76" s="192">
        <v>11704</v>
      </c>
      <c r="AF76" s="255">
        <v>11504.9</v>
      </c>
      <c r="AG76" s="192">
        <v>11480.7</v>
      </c>
      <c r="AH76" s="192">
        <v>11476.9</v>
      </c>
      <c r="AI76" s="255">
        <v>11515.6</v>
      </c>
      <c r="AJ76" s="192">
        <v>9465.5</v>
      </c>
      <c r="AK76" s="255">
        <v>9695</v>
      </c>
      <c r="AL76" s="192">
        <v>9450.4</v>
      </c>
      <c r="AM76" s="255">
        <v>9512.4</v>
      </c>
      <c r="AN76" s="192">
        <v>9547.5</v>
      </c>
      <c r="AO76" s="255">
        <v>9870.6</v>
      </c>
      <c r="AP76" s="192">
        <v>9724.4</v>
      </c>
      <c r="AQ76" s="255">
        <v>9601.2000000000007</v>
      </c>
      <c r="AR76" s="192">
        <v>7846.6</v>
      </c>
      <c r="AS76" s="255">
        <v>7879.8</v>
      </c>
      <c r="AT76" s="192">
        <v>7842.4</v>
      </c>
      <c r="AU76" s="255">
        <v>7774.9</v>
      </c>
      <c r="AV76" s="192">
        <v>8025.5</v>
      </c>
      <c r="AW76" s="192">
        <v>7895.3</v>
      </c>
      <c r="AX76" s="192">
        <v>11175.8</v>
      </c>
      <c r="AY76" s="192">
        <v>12607.6</v>
      </c>
      <c r="AZ76" s="192">
        <v>9161.1</v>
      </c>
      <c r="BA76" s="192">
        <v>10995.6</v>
      </c>
      <c r="BB76" s="192">
        <v>9260.7999999999993</v>
      </c>
      <c r="BC76" s="192">
        <v>9087.9</v>
      </c>
      <c r="BD76" s="192">
        <v>9511.2999999999993</v>
      </c>
      <c r="BE76" s="192">
        <v>10687.8</v>
      </c>
      <c r="BF76" s="192">
        <v>11617</v>
      </c>
      <c r="BG76" s="192">
        <v>11512</v>
      </c>
      <c r="BH76" s="192">
        <v>11617</v>
      </c>
      <c r="BI76" s="192">
        <v>11513</v>
      </c>
      <c r="BJ76" s="192">
        <v>7807</v>
      </c>
      <c r="BK76" s="192">
        <v>6177.6</v>
      </c>
      <c r="BL76" s="192">
        <v>7112</v>
      </c>
      <c r="BM76" s="192">
        <v>7379.6</v>
      </c>
      <c r="BN76" s="192">
        <v>7930</v>
      </c>
      <c r="BO76" s="192">
        <v>7633</v>
      </c>
      <c r="BP76" s="192">
        <v>8226</v>
      </c>
      <c r="BQ76" s="192">
        <v>8227</v>
      </c>
      <c r="BR76" s="192">
        <v>8748</v>
      </c>
      <c r="BS76" s="192">
        <v>9000</v>
      </c>
      <c r="BT76" s="192">
        <v>8746</v>
      </c>
      <c r="BU76" s="192">
        <v>9103</v>
      </c>
      <c r="BV76" s="192"/>
      <c r="BW76" s="192"/>
      <c r="BX76" s="192"/>
      <c r="BY76" s="192"/>
      <c r="BZ76" s="192">
        <v>1216</v>
      </c>
      <c r="CA76" s="192">
        <v>1027</v>
      </c>
      <c r="CB76" s="192">
        <v>4716</v>
      </c>
      <c r="CC76" s="192">
        <v>7872</v>
      </c>
      <c r="CD76" s="250">
        <v>6.3824520500000075</v>
      </c>
      <c r="CE76" s="250">
        <v>6.2693425333333401</v>
      </c>
      <c r="CF76" s="250">
        <v>6.7276600666666715</v>
      </c>
      <c r="CG76" s="250">
        <v>6.4908055666666664</v>
      </c>
      <c r="CH76" s="250">
        <v>0.82117579999999835</v>
      </c>
      <c r="CI76" s="250">
        <v>0.88600540000000094</v>
      </c>
      <c r="CJ76" s="250">
        <v>1.1290253333333349</v>
      </c>
      <c r="CK76" s="250">
        <v>0.99116720000000058</v>
      </c>
      <c r="CL76" s="250">
        <v>32.673647441104798</v>
      </c>
      <c r="CM76" s="250">
        <v>33.067915652879144</v>
      </c>
      <c r="CN76" s="250">
        <v>46.481671811535371</v>
      </c>
      <c r="CO76" s="250">
        <v>44.290671532846808</v>
      </c>
      <c r="CP76" s="250">
        <v>54.234979691307878</v>
      </c>
      <c r="CQ76" s="250">
        <v>54.371492295214985</v>
      </c>
      <c r="CR76" s="250">
        <v>0</v>
      </c>
      <c r="CS76" s="250">
        <v>0</v>
      </c>
      <c r="CT76" s="250">
        <v>1.8531080422420818</v>
      </c>
      <c r="CU76" s="250">
        <v>1.9370413625304108</v>
      </c>
      <c r="CV76" s="250">
        <v>3.2610000000000001</v>
      </c>
      <c r="CW76" s="250">
        <v>3.6150000000000002</v>
      </c>
      <c r="CX76" s="193">
        <f>IFERROR(AVERAGEIF(RD[[#This Row],[IS1POA1 (KWh/m2)]:[IS7POA2 (KWh/m2)]],"&lt;&gt;0",RD[[#This Row],[IS1POA1 (KWh/m2)]:[IS7POA2 (KWh/m2)]]),"")</f>
        <v>6.3258972916666742</v>
      </c>
      <c r="CY76" s="193">
        <f>IFERROR(AVERAGEIF(RD[[#This Row],[IS1GHI1 (KWh/m2)]:[IS7GHI2 (KWh/m2)]],"&lt;&gt;0",RD[[#This Row],[IS1GHI1 (KWh/m2)]:[IS7GHI2 (KWh/m2)]]),"")</f>
        <v>6.609232816666669</v>
      </c>
      <c r="CZ76" s="193">
        <f>IFERROR(AVERAGEIF(RD[[#This Row],[IS1POA_BS1 (KWh/m2)]:[IS7POA_BS2 (KWh/m2)]],"&lt;&gt;0",RD[[#This Row],[IS1POA_BS1 (KWh/m2)]:[IS7POA_BS2 (KWh/m2)]]),"")</f>
        <v>0.85359059999999964</v>
      </c>
      <c r="DA76" s="193">
        <f>IFERROR(AVERAGEIF(RD[[#This Row],[IS1GHI_BS1 (KWh/m2)]:[IS1GHI_BS1 (KWh/m2)2]],"&lt;&gt;0",RD[[#This Row],[IS1GHI_BS1 (KWh/m2)]:[IS1GHI_BS1 (KWh/m2)2]]),"")</f>
        <v>1.0600962666666678</v>
      </c>
      <c r="DB76" s="193">
        <f>IFERROR(AVERAGEIF(RD[[#This Row],[IS1AT1 (°C)]:[IS7AT2 (°C)]],"&lt;&gt;0",RD[[#This Row],[IS1AT1 (°C)]:[IS7AT2 (°C)]]),"")</f>
        <v>32.870781546991971</v>
      </c>
      <c r="DC76" s="193">
        <f>IFERROR(AVERAGEIF(RD[[#This Row],[IS1MT1 (°C)]:[IS7MT2 (°C)]],"&lt;&gt;0",RD[[#This Row],[IS1MT1 (°C)]:[IS7MT2 (°C)]]),"")</f>
        <v>45.386171672191089</v>
      </c>
      <c r="DD76" s="193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193">
        <f>IFERROR(AVERAGEIF(RD[[#This Row],[WS_Solar1_Avg (m/s)]:[IS7_WS_Solar1_Avg (m/s)]],"&lt;&gt;0",RD[[#This Row],[WS_Solar1_Avg (m/s)]:[IS7_WS_Solar1_Avg (m/s)]]),"")</f>
        <v>1.8950747023862462</v>
      </c>
      <c r="DG76" s="193">
        <f>IFERROR(AVERAGEIF(RD[[#This Row],[WS_Solar1_Max (m/s)]:[IS7_WS_Solar1_Max (m/s)]],"&lt;&gt;0",RD[[#This Row],[WS_Solar1_Max (m/s)]:[IS7_WS_Solar1_Max (m/s)]]),"")</f>
        <v>3.4380000000000002</v>
      </c>
      <c r="DH76" s="193">
        <f>SUM(RD[[#This Row],[IS1Inv1M1]:[IS4Inv4M2]])</f>
        <v>269561.5</v>
      </c>
      <c r="DI76" s="194">
        <f>SUM(RD[[#This Row],[IS7Inv1M1]]+RD[[#This Row],[IS7Inv2M1]])</f>
        <v>15726.400000000001</v>
      </c>
      <c r="DJ76" s="193">
        <f>SUM(RD[[#This Row],[IS5Inv1M1]:[IS5Inv2M2]])</f>
        <v>38123.300000000003</v>
      </c>
      <c r="DK76" s="193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75">
        <f>SUM(RD[[#This Row],[IS12Inv1M1]:[IS12Inv1M4]])</f>
        <v>32016</v>
      </c>
      <c r="DO76" s="275">
        <f>SUM(RD[[#This Row],[IS13Inv1M1]:[IS13Inv2M2]])</f>
        <v>35597</v>
      </c>
      <c r="DP76" s="193">
        <f>SUM(RD[[#This Row],[O2R15]:[O2R26]])</f>
        <v>633360.10000000009</v>
      </c>
      <c r="DQ76" s="158">
        <v>42678.1</v>
      </c>
      <c r="DR76" s="162">
        <v>218</v>
      </c>
      <c r="DS76" s="158">
        <v>37141.800000000003</v>
      </c>
      <c r="DT76" s="158">
        <v>230.6</v>
      </c>
      <c r="DU76" s="162">
        <v>43587.9</v>
      </c>
      <c r="DV76" s="162">
        <v>413.7</v>
      </c>
      <c r="DW76" s="158">
        <v>10235.200000000001</v>
      </c>
      <c r="DX76" s="162">
        <v>50.8</v>
      </c>
      <c r="DY76" s="162">
        <v>1141.9000000000001</v>
      </c>
      <c r="DZ76" s="162">
        <v>3.7</v>
      </c>
      <c r="EA76" s="134">
        <v>100.68</v>
      </c>
      <c r="EB76" s="230">
        <v>138298261</v>
      </c>
      <c r="EC76" s="229">
        <v>980442.88</v>
      </c>
      <c r="ED76" s="230">
        <v>1178</v>
      </c>
      <c r="EE76" s="230">
        <v>132546</v>
      </c>
      <c r="EF76" s="158">
        <v>191767.1</v>
      </c>
      <c r="EG76" s="158">
        <v>1909.9</v>
      </c>
      <c r="EH76" s="140">
        <f>IF((RD[[#This Row],[33 kV_F3_Ex
Incomer1]]-DQ75)*1000&lt;0,0,(RD[[#This Row],[33 kV_F3_Ex
Incomer1]]-DQ75)*1000)</f>
        <v>135000</v>
      </c>
      <c r="EI76" s="140">
        <f>IF((RD[[#This Row],[34 kV_F3_Im
Incomer1]]-DR75)*1000&lt;0,0,(RD[[#This Row],[34 kV_F3_Im
Incomer1]]-DR75)*1000)</f>
        <v>300.00000000001137</v>
      </c>
      <c r="EJ76" s="140">
        <f>IF((RD[[#This Row],[33 kV_F4_Ex
Incomer2]]-DS75)*1000&lt;0,0,(RD[[#This Row],[33 kV_F4_Ex
Incomer2]]-DS75)*1000)</f>
        <v>129800.00000000291</v>
      </c>
      <c r="EK76" s="140">
        <f>IF((RD[[#This Row],[34 kV_F4_Im
Incomer2]]-DT75)*1000&lt;0,0,(RD[[#This Row],[34 kV_F4_Im
Incomer2]]-DT75)*1000)</f>
        <v>400.00000000000568</v>
      </c>
      <c r="EL76" s="140">
        <f>IF((RD[[#This Row],[33 kV_F5_Ex
Incomer3]]-DU75)*1000&lt;0,0,(RD[[#This Row],[33 kV_F5_Ex
Incomer3]]-DU75)*1000)</f>
        <v>165800.00000000291</v>
      </c>
      <c r="EM76" s="140">
        <f>IF((RD[[#This Row],[34 kV_F5_Im
Incomer3]]-DV75)*1000&lt;0,0,(RD[[#This Row],[34 kV_F5_Im
Incomer3]]-DV75)*1000)</f>
        <v>599.99999999996589</v>
      </c>
      <c r="EN76" s="140">
        <f>IF((RD[[#This Row],[33 kV_F6_Ex
Incomer4]]-DW75)*1000&lt;0,0,(RD[[#This Row],[33 kV_F6_Ex
Incomer4]]-DW75)*1000)</f>
        <v>14700.000000000728</v>
      </c>
      <c r="EO76" s="140">
        <f t="shared" si="166"/>
        <v>300.00000000001137</v>
      </c>
      <c r="EP76" s="140">
        <f>IF((RD[[#This Row],[33 kV_F7_Ex
Incomer5]]-DY75)*1000&lt;0,0,(RD[[#This Row],[33 kV_F7_Ex
Incomer5]]-DY75)*1000)</f>
        <v>153700.00000000006</v>
      </c>
      <c r="EQ76" s="140">
        <f>IF((RD[[#This Row],[33 kV_F7_Im
Incomer5]]-DZ75)*1000&lt;0,0,(RD[[#This Row],[33 kV_F7_Im
Incomer5]]-DZ75)*1000)</f>
        <v>400.00000000000034</v>
      </c>
      <c r="ER76" s="140">
        <f>IF((RD[[#This Row],[33 kV_Aux Trafo]]-EA75)*1000&lt;0,0,(RD[[#This Row],[33 kV_Aux Trafo]]-EA75)*1000)</f>
        <v>290.00000000000625</v>
      </c>
      <c r="ES76" s="152">
        <f>IF((RD[[#This Row],[33kV_OG1_Ex_]]-EB75)*1&lt;0,0,(RD[[#This Row],[33kV_OG1_Ex_]]-EB75)*1)</f>
        <v>622838</v>
      </c>
      <c r="ET76" s="140">
        <f>IF((RD[[#This Row],[33kV_OG1_Im]]-EC75)*1&lt;0,0,(RD[[#This Row],[33kV_OG1_Im]]-EC75)*1)</f>
        <v>2069.1840000000084</v>
      </c>
      <c r="EU76" s="140">
        <f>IF((RD[[#This Row],[132kV_TX1_EX]]-ED75)*720&lt;=0,"",(RD[[#This Row],[132kV_TX1_EX]]-ED75)*720)</f>
        <v>1440</v>
      </c>
      <c r="EV76" s="140">
        <f>IF((RD[[#This Row],[132 kV_Tx1_Im]]-EE75)*720&lt;=0,0,(RD[[#This Row],[132 kV_Tx1_Im]]-EE75)*720)</f>
        <v>446400</v>
      </c>
      <c r="EW76" s="140">
        <f>IF((RD[[#This Row],[132kV_L1_Ex]]-EF75)*720&lt;=0,0,(RD[[#This Row],[132kV_L1_Ex]]-EF75)*720)</f>
        <v>620784.00000000838</v>
      </c>
      <c r="EX76" s="140">
        <f>IF((RD[[#This Row],[132kV_L1_Im]]-EG75)*720&lt;=0,0,(RD[[#This Row],[132kV_L1_Im]]-EG75)*720)</f>
        <v>2592.0000000000982</v>
      </c>
      <c r="EY76" s="231">
        <f>IFERROR(RD[[#This Row],[33kV_OG1_Ex (MWh)]]+RD[[#This Row],[33kV_OG1_Im (MWh)]],"")</f>
        <v>624907.18400000001</v>
      </c>
      <c r="EZ76" s="142">
        <f>RD[[#This Row],[33kV_OG1_Ex (MWh)]]-RD[[#This Row],[33kV_OG1_Im (MWh)]]</f>
        <v>620768.81599999999</v>
      </c>
      <c r="FA76" s="142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32">
        <f>IFERROR((RD[[#This Row],[Sunset Time (POA&lt;20 W/m2)]]-RD[[#This Row],[Sunrise Time (POA&gt;20 W/m2)]])*24,0)</f>
        <v>12.616666666666667</v>
      </c>
      <c r="FD76" s="233">
        <v>122.7</v>
      </c>
      <c r="FE76" t="s">
        <v>293</v>
      </c>
      <c r="FG76" s="138" t="str">
        <f>IFERROR(RD[[#This Row],[E_AC (WPR)]]/RD[[#This Row],[E_DC (WPR)]],"")</f>
        <v/>
      </c>
    </row>
    <row r="77" spans="1:163">
      <c r="A77" s="130">
        <f t="shared" si="161"/>
        <v>45817</v>
      </c>
      <c r="B77" s="132">
        <f>YEAR(RD[[#This Row],[Date]])+IF(MONTH(RD[[#This Row],[Date]])&gt;=4,1,0)</f>
        <v>2026</v>
      </c>
      <c r="C77" s="132">
        <f>YEAR(RD[[#This Row],[Date]])</f>
        <v>2025</v>
      </c>
      <c r="D77" s="133">
        <f t="shared" si="165"/>
        <v>45809</v>
      </c>
      <c r="E77" s="132">
        <f>DAY(EOMONTH(RD[[#This Row],[Date]],0))</f>
        <v>30</v>
      </c>
      <c r="F77" s="146">
        <v>0.25138888888888888</v>
      </c>
      <c r="G77" s="156">
        <v>0.78263888888888888</v>
      </c>
      <c r="H77" s="121">
        <v>8870.7999999999993</v>
      </c>
      <c r="I77" s="257">
        <v>8753.2999999999993</v>
      </c>
      <c r="J77" s="121">
        <v>8254.2000000000007</v>
      </c>
      <c r="K77" s="121">
        <v>8285.7000000000007</v>
      </c>
      <c r="L77" s="121">
        <v>8527.2000000000007</v>
      </c>
      <c r="M77" s="121">
        <v>8844.4</v>
      </c>
      <c r="N77" s="121">
        <v>8591.9</v>
      </c>
      <c r="O77" s="121">
        <v>9311.5</v>
      </c>
      <c r="P77" s="121">
        <v>8673.4</v>
      </c>
      <c r="Q77" s="121">
        <v>8496.2000000000007</v>
      </c>
      <c r="R77" s="121">
        <v>8818.7999999999993</v>
      </c>
      <c r="S77" s="255">
        <v>8806.2999999999993</v>
      </c>
      <c r="T77" s="121">
        <v>9098.5</v>
      </c>
      <c r="U77" s="121">
        <v>8844</v>
      </c>
      <c r="V77" s="121">
        <v>8980.7999999999993</v>
      </c>
      <c r="W77" s="121">
        <v>8674.1</v>
      </c>
      <c r="X77" s="255">
        <v>12087</v>
      </c>
      <c r="Y77" s="192">
        <v>13147.5</v>
      </c>
      <c r="Z77" s="192">
        <v>11759.5</v>
      </c>
      <c r="AA77" s="192">
        <v>12304.4</v>
      </c>
      <c r="AB77" s="255">
        <v>13076</v>
      </c>
      <c r="AC77" s="192">
        <v>7828.1</v>
      </c>
      <c r="AD77" s="192">
        <v>12161.6</v>
      </c>
      <c r="AE77" s="192">
        <v>12308.8</v>
      </c>
      <c r="AF77" s="255">
        <v>12132.8</v>
      </c>
      <c r="AG77" s="192">
        <v>12101.5</v>
      </c>
      <c r="AH77" s="192">
        <v>12106.5</v>
      </c>
      <c r="AI77" s="255">
        <v>12133.1</v>
      </c>
      <c r="AJ77" s="192">
        <v>9797</v>
      </c>
      <c r="AK77" s="255">
        <v>10039.6</v>
      </c>
      <c r="AL77" s="192">
        <v>9872.6</v>
      </c>
      <c r="AM77" s="255">
        <v>9954.2999999999993</v>
      </c>
      <c r="AN77" s="192">
        <v>9910.7999999999993</v>
      </c>
      <c r="AO77" s="255">
        <v>10259.4</v>
      </c>
      <c r="AP77" s="192">
        <v>10078</v>
      </c>
      <c r="AQ77" s="255">
        <v>9952.2999999999993</v>
      </c>
      <c r="AR77" s="192">
        <v>8150.8</v>
      </c>
      <c r="AS77" s="255">
        <v>8194.2999999999993</v>
      </c>
      <c r="AT77" s="192">
        <v>8179</v>
      </c>
      <c r="AU77" s="255">
        <v>8117.4</v>
      </c>
      <c r="AV77" s="192">
        <v>8352.7999999999993</v>
      </c>
      <c r="AW77" s="192">
        <v>8223.9</v>
      </c>
      <c r="AX77" s="192">
        <v>11562.6</v>
      </c>
      <c r="AY77" s="192">
        <v>12940.5</v>
      </c>
      <c r="AZ77" s="192">
        <v>9393</v>
      </c>
      <c r="BA77" s="192">
        <v>11331.1</v>
      </c>
      <c r="BB77" s="192">
        <v>9708</v>
      </c>
      <c r="BC77" s="192">
        <v>9467</v>
      </c>
      <c r="BD77" s="192">
        <v>9678.7000000000007</v>
      </c>
      <c r="BE77" s="192">
        <v>10911</v>
      </c>
      <c r="BF77" s="192">
        <v>11882.7</v>
      </c>
      <c r="BG77" s="192">
        <v>11956</v>
      </c>
      <c r="BH77" s="192">
        <v>11746</v>
      </c>
      <c r="BI77" s="192">
        <v>12063</v>
      </c>
      <c r="BJ77" s="192">
        <v>8066</v>
      </c>
      <c r="BK77" s="192">
        <v>6370</v>
      </c>
      <c r="BL77" s="192">
        <v>7534</v>
      </c>
      <c r="BM77" s="192">
        <v>7643</v>
      </c>
      <c r="BN77" s="192">
        <v>8066</v>
      </c>
      <c r="BO77" s="192">
        <v>6370</v>
      </c>
      <c r="BP77" s="192">
        <v>7534</v>
      </c>
      <c r="BQ77" s="192">
        <v>7643</v>
      </c>
      <c r="BR77" s="192">
        <v>9121</v>
      </c>
      <c r="BS77" s="192">
        <v>9387</v>
      </c>
      <c r="BT77" s="192">
        <v>9151</v>
      </c>
      <c r="BU77" s="192">
        <v>9519</v>
      </c>
      <c r="BV77" s="192"/>
      <c r="BW77" s="192"/>
      <c r="BX77" s="192"/>
      <c r="BY77" s="192"/>
      <c r="BZ77" s="192">
        <v>1288</v>
      </c>
      <c r="CA77" s="192">
        <v>1090</v>
      </c>
      <c r="CB77" s="192">
        <v>4975</v>
      </c>
      <c r="CC77" s="192">
        <v>8261</v>
      </c>
      <c r="CD77" s="250">
        <v>7.1267390333333331</v>
      </c>
      <c r="CE77" s="250">
        <v>6.523469300000003</v>
      </c>
      <c r="CF77" s="250">
        <v>6.9949185499999986</v>
      </c>
      <c r="CG77" s="250">
        <v>6.7713917333333349</v>
      </c>
      <c r="CH77" s="250">
        <v>0.84054511666666565</v>
      </c>
      <c r="CI77" s="250">
        <v>0.94987036666666769</v>
      </c>
      <c r="CJ77" s="250">
        <v>1.1921985666666675</v>
      </c>
      <c r="CK77" s="250">
        <v>1.0488072333333338</v>
      </c>
      <c r="CL77" s="250">
        <v>32.965233128834363</v>
      </c>
      <c r="CM77" s="250">
        <v>33.285543644716697</v>
      </c>
      <c r="CN77" s="250">
        <v>46.295125000000041</v>
      </c>
      <c r="CO77" s="250">
        <v>44.045260336906615</v>
      </c>
      <c r="CP77" s="250">
        <v>53.459170245398688</v>
      </c>
      <c r="CQ77" s="250">
        <v>53.854471669219024</v>
      </c>
      <c r="CR77" s="250">
        <v>0</v>
      </c>
      <c r="CS77" s="250">
        <v>0</v>
      </c>
      <c r="CT77" s="250">
        <v>2.3182047546012212</v>
      </c>
      <c r="CU77" s="250">
        <v>2.4537220520673788</v>
      </c>
      <c r="CV77" s="250">
        <v>4.0469999999999997</v>
      </c>
      <c r="CW77" s="250">
        <v>4.4429999999999996</v>
      </c>
      <c r="CX77" s="193">
        <f>IFERROR(AVERAGEIF(RD[[#This Row],[IS1POA1 (KWh/m2)]:[IS7POA2 (KWh/m2)]],"&lt;&gt;0",RD[[#This Row],[IS1POA1 (KWh/m2)]:[IS7POA2 (KWh/m2)]]),"")</f>
        <v>6.8251041666666676</v>
      </c>
      <c r="CY77" s="193">
        <f>IFERROR(AVERAGEIF(RD[[#This Row],[IS1GHI1 (KWh/m2)]:[IS7GHI2 (KWh/m2)]],"&lt;&gt;0",RD[[#This Row],[IS1GHI1 (KWh/m2)]:[IS7GHI2 (KWh/m2)]]),"")</f>
        <v>6.8831551416666663</v>
      </c>
      <c r="CZ77" s="193">
        <f>IFERROR(AVERAGEIF(RD[[#This Row],[IS1POA_BS1 (KWh/m2)]:[IS7POA_BS2 (KWh/m2)]],"&lt;&gt;0",RD[[#This Row],[IS1POA_BS1 (KWh/m2)]:[IS7POA_BS2 (KWh/m2)]]),"")</f>
        <v>0.89520774166666661</v>
      </c>
      <c r="DA77" s="193">
        <f>IFERROR(AVERAGEIF(RD[[#This Row],[IS1GHI_BS1 (KWh/m2)]:[IS1GHI_BS1 (KWh/m2)2]],"&lt;&gt;0",RD[[#This Row],[IS1GHI_BS1 (KWh/m2)]:[IS1GHI_BS1 (KWh/m2)2]]),"")</f>
        <v>1.1205029000000006</v>
      </c>
      <c r="DB77" s="193">
        <f>IFERROR(AVERAGEIF(RD[[#This Row],[IS1AT1 (°C)]:[IS7AT2 (°C)]],"&lt;&gt;0",RD[[#This Row],[IS1AT1 (°C)]:[IS7AT2 (°C)]]),"")</f>
        <v>33.125388386775526</v>
      </c>
      <c r="DC77" s="193">
        <f>IFERROR(AVERAGEIF(RD[[#This Row],[IS1MT1 (°C)]:[IS7MT2 (°C)]],"&lt;&gt;0",RD[[#This Row],[IS1MT1 (°C)]:[IS7MT2 (°C)]]),"")</f>
        <v>45.170192668453325</v>
      </c>
      <c r="DD77" s="193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193">
        <f>IFERROR(AVERAGEIF(RD[[#This Row],[WS_Solar1_Avg (m/s)]:[IS7_WS_Solar1_Avg (m/s)]],"&lt;&gt;0",RD[[#This Row],[WS_Solar1_Avg (m/s)]:[IS7_WS_Solar1_Avg (m/s)]]),"")</f>
        <v>2.3859634033343</v>
      </c>
      <c r="DG77" s="193">
        <f>IFERROR(AVERAGEIF(RD[[#This Row],[WS_Solar1_Max (m/s)]:[IS7_WS_Solar1_Max (m/s)]],"&lt;&gt;0",RD[[#This Row],[WS_Solar1_Max (m/s)]:[IS7_WS_Solar1_Max (m/s)]]),"")</f>
        <v>4.2449999999999992</v>
      </c>
      <c r="DH77" s="193">
        <f>SUM(RD[[#This Row],[IS1Inv1M1]:[IS4Inv4M2]])</f>
        <v>282977.89999999997</v>
      </c>
      <c r="DI77" s="194">
        <f>SUM(RD[[#This Row],[IS7Inv1M1]]+RD[[#This Row],[IS7Inv2M1]])</f>
        <v>16345.099999999999</v>
      </c>
      <c r="DJ77" s="193">
        <f>SUM(RD[[#This Row],[IS5Inv1M1]:[IS5Inv2M2]])</f>
        <v>39663.5</v>
      </c>
      <c r="DK77" s="193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75">
        <f>SUM(RD[[#This Row],[IS12Inv1M1]:[IS12Inv1M4]])</f>
        <v>29613</v>
      </c>
      <c r="DO77" s="275">
        <f>SUM(RD[[#This Row],[IS13Inv1M1]:[IS13Inv2M2]])</f>
        <v>37178</v>
      </c>
      <c r="DP77" s="193">
        <f>SUM(RD[[#This Row],[O2R15]:[O2R26]])</f>
        <v>656717.69999999995</v>
      </c>
      <c r="DQ77" s="158">
        <v>42820.2</v>
      </c>
      <c r="DR77" s="162">
        <v>218.4</v>
      </c>
      <c r="DS77" s="158">
        <v>37277.800000000003</v>
      </c>
      <c r="DT77" s="158">
        <v>231</v>
      </c>
      <c r="DU77" s="162">
        <v>43759.8</v>
      </c>
      <c r="DV77" s="162">
        <v>414.5</v>
      </c>
      <c r="DW77" s="158">
        <v>10250.6</v>
      </c>
      <c r="DX77" s="162">
        <v>50.9</v>
      </c>
      <c r="DY77" s="162">
        <v>1301.5</v>
      </c>
      <c r="DZ77" s="162">
        <v>4.0999999999999996</v>
      </c>
      <c r="EA77" s="134">
        <v>100.99</v>
      </c>
      <c r="EB77" s="230">
        <v>138947952</v>
      </c>
      <c r="EC77" s="229">
        <v>982710.4</v>
      </c>
      <c r="ED77" s="230">
        <v>1181</v>
      </c>
      <c r="EE77" s="230">
        <v>133193</v>
      </c>
      <c r="EF77" s="158">
        <v>192666.4</v>
      </c>
      <c r="EG77" s="158">
        <v>1913.8</v>
      </c>
      <c r="EH77" s="140">
        <f>IF((RD[[#This Row],[33 kV_F3_Ex
Incomer1]]-DQ76)*1000&lt;0,0,(RD[[#This Row],[33 kV_F3_Ex
Incomer1]]-DQ76)*1000)</f>
        <v>142099.99999999854</v>
      </c>
      <c r="EI77" s="140">
        <f>IF((RD[[#This Row],[34 kV_F3_Im
Incomer1]]-DR76)*1000&lt;0,0,(RD[[#This Row],[34 kV_F3_Im
Incomer1]]-DR76)*1000)</f>
        <v>400.00000000000568</v>
      </c>
      <c r="EJ77" s="140">
        <f>IF((RD[[#This Row],[33 kV_F4_Ex
Incomer2]]-DS76)*1000&lt;0,0,(RD[[#This Row],[33 kV_F4_Ex
Incomer2]]-DS76)*1000)</f>
        <v>136000</v>
      </c>
      <c r="EK77" s="140">
        <f>IF((RD[[#This Row],[34 kV_F4_Im
Incomer2]]-DT76)*1000&lt;0,0,(RD[[#This Row],[34 kV_F4_Im
Incomer2]]-DT76)*1000)</f>
        <v>400.00000000000568</v>
      </c>
      <c r="EL77" s="140">
        <f>IF((RD[[#This Row],[33 kV_F5_Ex
Incomer3]]-DU76)*1000&lt;0,0,(RD[[#This Row],[33 kV_F5_Ex
Incomer3]]-DU76)*1000)</f>
        <v>171900.00000000146</v>
      </c>
      <c r="EM77" s="140">
        <f>IF((RD[[#This Row],[34 kV_F5_Im
Incomer3]]-DV76)*1000&lt;0,0,(RD[[#This Row],[34 kV_F5_Im
Incomer3]]-DV76)*1000)</f>
        <v>800.00000000001137</v>
      </c>
      <c r="EN77" s="140">
        <f>IF((RD[[#This Row],[33 kV_F6_Ex
Incomer4]]-DW76)*1000&lt;0,0,(RD[[#This Row],[33 kV_F6_Ex
Incomer4]]-DW76)*1000)</f>
        <v>15399.999999999636</v>
      </c>
      <c r="EO77" s="140">
        <f t="shared" si="166"/>
        <v>400.00000000000568</v>
      </c>
      <c r="EP77" s="140">
        <f>IF((RD[[#This Row],[33 kV_F7_Ex
Incomer5]]-DY76)*1000&lt;0,0,(RD[[#This Row],[33 kV_F7_Ex
Incomer5]]-DY76)*1000)</f>
        <v>159599.99999999991</v>
      </c>
      <c r="EQ77" s="140">
        <f>IF((RD[[#This Row],[33 kV_F7_Im
Incomer5]]-DZ76)*1000&lt;0,0,(RD[[#This Row],[33 kV_F7_Im
Incomer5]]-DZ76)*1000)</f>
        <v>399.99999999999949</v>
      </c>
      <c r="ER77" s="140">
        <f>IF((RD[[#This Row],[33 kV_Aux Trafo]]-EA76)*1000&lt;0,0,(RD[[#This Row],[33 kV_Aux Trafo]]-EA76)*1000)</f>
        <v>309.99999999998806</v>
      </c>
      <c r="ES77" s="152">
        <f>IF((RD[[#This Row],[33kV_OG1_Ex_]]-EB76)*1&lt;0,0,(RD[[#This Row],[33kV_OG1_Ex_]]-EB76)*1)</f>
        <v>649691</v>
      </c>
      <c r="ET77" s="140">
        <f>IF((RD[[#This Row],[33kV_OG1_Im]]-EC76)*1&lt;0,0,(RD[[#This Row],[33kV_OG1_Im]]-EC76)*1)</f>
        <v>2267.5200000000186</v>
      </c>
      <c r="EU77" s="140">
        <f>IF((RD[[#This Row],[132kV_TX1_EX]]-ED76)*720&lt;=0,"",(RD[[#This Row],[132kV_TX1_EX]]-ED76)*720)</f>
        <v>2160</v>
      </c>
      <c r="EV77" s="140">
        <f>IF((RD[[#This Row],[132 kV_Tx1_Im]]-EE76)*720&lt;=0,0,(RD[[#This Row],[132 kV_Tx1_Im]]-EE76)*720)</f>
        <v>465840</v>
      </c>
      <c r="EW77" s="140">
        <f>IF((RD[[#This Row],[132kV_L1_Ex]]-EF76)*720&lt;=0,0,(RD[[#This Row],[132kV_L1_Ex]]-EF76)*720)</f>
        <v>647495.99999999162</v>
      </c>
      <c r="EX77" s="140">
        <f>IF((RD[[#This Row],[132kV_L1_Im]]-EG76)*720&lt;=0,0,(RD[[#This Row],[132kV_L1_Im]]-EG76)*720)</f>
        <v>2807.9999999999018</v>
      </c>
      <c r="EY77" s="231">
        <f>IFERROR(RD[[#This Row],[33kV_OG1_Ex (MWh)]]+RD[[#This Row],[33kV_OG1_Im (MWh)]],"")</f>
        <v>651958.52</v>
      </c>
      <c r="EZ77" s="142">
        <f>RD[[#This Row],[33kV_OG1_Ex (MWh)]]-RD[[#This Row],[33kV_OG1_Im (MWh)]]</f>
        <v>647423.48</v>
      </c>
      <c r="FA77" s="142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32">
        <f>IFERROR((RD[[#This Row],[Sunset Time (POA&lt;20 W/m2)]]-RD[[#This Row],[Sunrise Time (POA&gt;20 W/m2)]])*24,0)</f>
        <v>12.75</v>
      </c>
      <c r="FD77" s="233">
        <v>122.7</v>
      </c>
      <c r="FE77" t="s">
        <v>293</v>
      </c>
      <c r="FG77" s="138" t="str">
        <f>IFERROR(RD[[#This Row],[E_AC (WPR)]]/RD[[#This Row],[E_DC (WPR)]],"")</f>
        <v/>
      </c>
    </row>
    <row r="78" spans="1:163">
      <c r="A78" s="130">
        <f t="shared" si="161"/>
        <v>45818</v>
      </c>
      <c r="B78" s="132">
        <f>YEAR(RD[[#This Row],[Date]])+IF(MONTH(RD[[#This Row],[Date]])&gt;=4,1,0)</f>
        <v>2026</v>
      </c>
      <c r="C78" s="132">
        <f>YEAR(RD[[#This Row],[Date]])</f>
        <v>2025</v>
      </c>
      <c r="D78" s="133">
        <f t="shared" si="165"/>
        <v>45809</v>
      </c>
      <c r="E78" s="132">
        <f>DAY(EOMONTH(RD[[#This Row],[Date]],0))</f>
        <v>30</v>
      </c>
      <c r="F78" s="146">
        <v>0.25208333333333333</v>
      </c>
      <c r="G78" s="156">
        <v>0.78125</v>
      </c>
      <c r="H78" s="121">
        <v>8065.9</v>
      </c>
      <c r="I78" s="257">
        <v>7972.5</v>
      </c>
      <c r="J78" s="121">
        <v>7534.8</v>
      </c>
      <c r="K78" s="121">
        <v>7570.3</v>
      </c>
      <c r="L78" s="121">
        <v>7773.5</v>
      </c>
      <c r="M78" s="121">
        <v>8041.5</v>
      </c>
      <c r="N78" s="121">
        <v>7826</v>
      </c>
      <c r="O78" s="121">
        <v>8451.6</v>
      </c>
      <c r="P78" s="121">
        <v>7929</v>
      </c>
      <c r="Q78" s="121">
        <v>7705.4</v>
      </c>
      <c r="R78" s="121">
        <v>7953.4</v>
      </c>
      <c r="S78" s="255">
        <v>7929.3</v>
      </c>
      <c r="T78" s="121">
        <v>8271.5</v>
      </c>
      <c r="U78" s="121">
        <v>7948.4</v>
      </c>
      <c r="V78" s="121">
        <v>8165.1</v>
      </c>
      <c r="W78" s="121">
        <v>7927.1</v>
      </c>
      <c r="X78" s="255">
        <v>10990.9</v>
      </c>
      <c r="Y78" s="192">
        <v>11910.5</v>
      </c>
      <c r="Z78" s="192">
        <v>10772</v>
      </c>
      <c r="AA78" s="192">
        <v>11279.4</v>
      </c>
      <c r="AB78" s="255">
        <v>11833</v>
      </c>
      <c r="AC78" s="192">
        <v>7072.2</v>
      </c>
      <c r="AD78" s="192">
        <v>10972.9</v>
      </c>
      <c r="AE78" s="192">
        <v>11079.2</v>
      </c>
      <c r="AF78" s="255">
        <v>10969.8</v>
      </c>
      <c r="AG78" s="192">
        <v>10942</v>
      </c>
      <c r="AH78" s="192">
        <v>10933</v>
      </c>
      <c r="AI78" s="255">
        <v>10936.9</v>
      </c>
      <c r="AJ78" s="192">
        <v>8938.7999999999993</v>
      </c>
      <c r="AK78" s="255">
        <v>9152.5</v>
      </c>
      <c r="AL78" s="192">
        <v>9001.2000000000007</v>
      </c>
      <c r="AM78" s="255">
        <v>9055.7000000000007</v>
      </c>
      <c r="AN78" s="192">
        <v>9046.7000000000007</v>
      </c>
      <c r="AO78" s="255">
        <v>9367.7000000000007</v>
      </c>
      <c r="AP78" s="192">
        <v>9221.1</v>
      </c>
      <c r="AQ78" s="255">
        <v>9093.5</v>
      </c>
      <c r="AR78" s="192">
        <v>7399</v>
      </c>
      <c r="AS78" s="255">
        <v>7454.2</v>
      </c>
      <c r="AT78" s="192">
        <v>7438.6</v>
      </c>
      <c r="AU78" s="255">
        <v>7375.7</v>
      </c>
      <c r="AV78" s="192">
        <v>7585.5</v>
      </c>
      <c r="AW78" s="192">
        <v>7497.3</v>
      </c>
      <c r="AX78" s="192">
        <v>10546.6</v>
      </c>
      <c r="AY78" s="192">
        <v>11818.9</v>
      </c>
      <c r="AZ78" s="192">
        <v>8561.6</v>
      </c>
      <c r="BA78" s="192">
        <v>10316.799999999999</v>
      </c>
      <c r="BB78" s="192">
        <v>9303</v>
      </c>
      <c r="BC78" s="192">
        <v>9078</v>
      </c>
      <c r="BD78" s="192">
        <v>9261</v>
      </c>
      <c r="BE78" s="192">
        <v>10506</v>
      </c>
      <c r="BF78" s="192">
        <v>11395</v>
      </c>
      <c r="BG78" s="192">
        <v>11447</v>
      </c>
      <c r="BH78" s="192">
        <v>11264</v>
      </c>
      <c r="BI78" s="192">
        <v>11520</v>
      </c>
      <c r="BJ78" s="192">
        <v>7675</v>
      </c>
      <c r="BK78" s="192">
        <v>6069</v>
      </c>
      <c r="BL78" s="192">
        <v>7154</v>
      </c>
      <c r="BM78" s="192">
        <v>7249</v>
      </c>
      <c r="BN78" s="192">
        <v>7869</v>
      </c>
      <c r="BO78" s="192">
        <v>7640</v>
      </c>
      <c r="BP78" s="192">
        <v>8225</v>
      </c>
      <c r="BQ78" s="192">
        <v>8187</v>
      </c>
      <c r="BR78" s="192">
        <v>5971</v>
      </c>
      <c r="BS78" s="192">
        <v>6458</v>
      </c>
      <c r="BT78" s="192">
        <v>7341</v>
      </c>
      <c r="BU78" s="192">
        <v>7540</v>
      </c>
      <c r="BV78" s="192"/>
      <c r="BW78" s="192"/>
      <c r="BX78" s="192"/>
      <c r="BY78" s="192"/>
      <c r="BZ78" s="192">
        <v>1206</v>
      </c>
      <c r="CA78" s="192">
        <v>1022</v>
      </c>
      <c r="CB78" s="192">
        <v>4704</v>
      </c>
      <c r="CC78" s="192">
        <v>7820</v>
      </c>
      <c r="CD78" s="250">
        <v>7.204574066666658</v>
      </c>
      <c r="CE78" s="250">
        <v>5.8837973333333409</v>
      </c>
      <c r="CF78" s="250">
        <v>5.4856224333333348</v>
      </c>
      <c r="CG78" s="250">
        <v>6.0199839000000042</v>
      </c>
      <c r="CH78" s="250">
        <v>0.7281406666666661</v>
      </c>
      <c r="CI78" s="250">
        <v>0.87009781666666708</v>
      </c>
      <c r="CJ78" s="250">
        <v>1.059802216666667</v>
      </c>
      <c r="CK78" s="250">
        <v>0.93598535000000016</v>
      </c>
      <c r="CL78" s="250">
        <v>32.936788321167967</v>
      </c>
      <c r="CM78" s="250">
        <v>33.249967611335947</v>
      </c>
      <c r="CN78" s="250">
        <v>46.301298459042968</v>
      </c>
      <c r="CO78" s="250">
        <v>43.978092307692343</v>
      </c>
      <c r="CP78" s="250">
        <v>52.113463098134652</v>
      </c>
      <c r="CQ78" s="250">
        <v>52.654874493927124</v>
      </c>
      <c r="CR78" s="250">
        <v>0</v>
      </c>
      <c r="CS78" s="250">
        <v>0</v>
      </c>
      <c r="CT78" s="250">
        <v>2.099330900243308</v>
      </c>
      <c r="CU78" s="250">
        <v>2.1610469635627574</v>
      </c>
      <c r="CV78" s="250">
        <v>3.9180000000000001</v>
      </c>
      <c r="CW78" s="250">
        <v>3.8519999999999999</v>
      </c>
      <c r="CX78" s="193">
        <f>IFERROR(AVERAGEIF(RD[[#This Row],[IS1POA1 (KWh/m2)]:[IS7POA2 (KWh/m2)]],"&lt;&gt;0",RD[[#This Row],[IS1POA1 (KWh/m2)]:[IS7POA2 (KWh/m2)]]),"")</f>
        <v>6.5441856999999999</v>
      </c>
      <c r="CY78" s="193">
        <f>IFERROR(AVERAGEIF(RD[[#This Row],[IS1GHI1 (KWh/m2)]:[IS7GHI2 (KWh/m2)]],"&lt;&gt;0",RD[[#This Row],[IS1GHI1 (KWh/m2)]:[IS7GHI2 (KWh/m2)]]),"")</f>
        <v>5.7528031666666699</v>
      </c>
      <c r="CZ78" s="193">
        <f>IFERROR(AVERAGEIF(RD[[#This Row],[IS1POA_BS1 (KWh/m2)]:[IS7POA_BS2 (KWh/m2)]],"&lt;&gt;0",RD[[#This Row],[IS1POA_BS1 (KWh/m2)]:[IS7POA_BS2 (KWh/m2)]]),"")</f>
        <v>0.79911924166666659</v>
      </c>
      <c r="DA78" s="193">
        <f>IFERROR(AVERAGEIF(RD[[#This Row],[IS1GHI_BS1 (KWh/m2)]:[IS1GHI_BS1 (KWh/m2)2]],"&lt;&gt;0",RD[[#This Row],[IS1GHI_BS1 (KWh/m2)]:[IS1GHI_BS1 (KWh/m2)2]]),"")</f>
        <v>0.99789378333333356</v>
      </c>
      <c r="DB78" s="193">
        <f>IFERROR(AVERAGEIF(RD[[#This Row],[IS1AT1 (°C)]:[IS7AT2 (°C)]],"&lt;&gt;0",RD[[#This Row],[IS1AT1 (°C)]:[IS7AT2 (°C)]]),"")</f>
        <v>33.093377966251957</v>
      </c>
      <c r="DC78" s="193">
        <f>IFERROR(AVERAGEIF(RD[[#This Row],[IS1MT1 (°C)]:[IS7MT2 (°C)]],"&lt;&gt;0",RD[[#This Row],[IS1MT1 (°C)]:[IS7MT2 (°C)]]),"")</f>
        <v>45.139695383367652</v>
      </c>
      <c r="DD78" s="193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193">
        <f>IFERROR(AVERAGEIF(RD[[#This Row],[WS_Solar1_Avg (m/s)]:[IS7_WS_Solar1_Avg (m/s)]],"&lt;&gt;0",RD[[#This Row],[WS_Solar1_Avg (m/s)]:[IS7_WS_Solar1_Avg (m/s)]]),"")</f>
        <v>2.1301889319030325</v>
      </c>
      <c r="DG78" s="193">
        <f>IFERROR(AVERAGEIF(RD[[#This Row],[WS_Solar1_Max (m/s)]:[IS7_WS_Solar1_Max (m/s)]],"&lt;&gt;0",RD[[#This Row],[WS_Solar1_Max (m/s)]:[IS7_WS_Solar1_Max (m/s)]]),"")</f>
        <v>3.8849999999999998</v>
      </c>
      <c r="DH78" s="193">
        <f>SUM(RD[[#This Row],[IS1Inv1M1]:[IS4Inv4M2]])</f>
        <v>256757.1</v>
      </c>
      <c r="DI78" s="194">
        <f>SUM(RD[[#This Row],[IS7Inv1M1]]+RD[[#This Row],[IS7Inv2M1]])</f>
        <v>14853.2</v>
      </c>
      <c r="DJ78" s="193">
        <f>SUM(RD[[#This Row],[IS5Inv1M1]:[IS5Inv2M2]])</f>
        <v>36148.199999999997</v>
      </c>
      <c r="DK78" s="193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75">
        <f>SUM(RD[[#This Row],[IS12Inv1M1]:[IS12Inv1M4]])</f>
        <v>31921</v>
      </c>
      <c r="DO78" s="275">
        <f>SUM(RD[[#This Row],[IS13Inv1M1]:[IS13Inv2M2]])</f>
        <v>27310</v>
      </c>
      <c r="DP78" s="193">
        <f>SUM(RD[[#This Row],[O2R15]:[O2R26]])</f>
        <v>601532.5</v>
      </c>
      <c r="DQ78" s="158">
        <v>42949</v>
      </c>
      <c r="DR78" s="162">
        <v>218.7</v>
      </c>
      <c r="DS78" s="158">
        <v>37401.9</v>
      </c>
      <c r="DT78" s="158">
        <v>231.3</v>
      </c>
      <c r="DU78" s="162">
        <v>43916.6</v>
      </c>
      <c r="DV78" s="162">
        <v>415</v>
      </c>
      <c r="DW78" s="158">
        <v>10265.299999999999</v>
      </c>
      <c r="DX78" s="162">
        <v>51</v>
      </c>
      <c r="DY78" s="162">
        <v>1446</v>
      </c>
      <c r="DZ78" s="162">
        <v>4.4000000000000004</v>
      </c>
      <c r="EA78" s="134">
        <v>101.28</v>
      </c>
      <c r="EB78" s="230">
        <v>139540135</v>
      </c>
      <c r="EC78" s="229">
        <v>984623.68</v>
      </c>
      <c r="ED78" s="230">
        <v>1184</v>
      </c>
      <c r="EE78" s="230">
        <v>133783</v>
      </c>
      <c r="EF78" s="158">
        <v>193486.1</v>
      </c>
      <c r="EG78" s="158">
        <v>1917.1</v>
      </c>
      <c r="EH78" s="140">
        <f>IF((RD[[#This Row],[33 kV_F3_Ex
Incomer1]]-DQ77)*1000&lt;0,0,(RD[[#This Row],[33 kV_F3_Ex
Incomer1]]-DQ77)*1000)</f>
        <v>128800.00000000291</v>
      </c>
      <c r="EI78" s="140">
        <f>IF((RD[[#This Row],[34 kV_F3_Im
Incomer1]]-DR77)*1000&lt;0,0,(RD[[#This Row],[34 kV_F3_Im
Incomer1]]-DR77)*1000)</f>
        <v>299.99999999998295</v>
      </c>
      <c r="EJ78" s="140">
        <f>IF((RD[[#This Row],[33 kV_F4_Ex
Incomer2]]-DS77)*1000&lt;0,0,(RD[[#This Row],[33 kV_F4_Ex
Incomer2]]-DS77)*1000)</f>
        <v>124099.99999999854</v>
      </c>
      <c r="EK78" s="140">
        <f>IF((RD[[#This Row],[34 kV_F4_Im
Incomer2]]-DT77)*1000&lt;0,0,(RD[[#This Row],[34 kV_F4_Im
Incomer2]]-DT77)*1000)</f>
        <v>300.00000000001137</v>
      </c>
      <c r="EL78" s="140">
        <f>IF((RD[[#This Row],[33 kV_F5_Ex
Incomer3]]-DU77)*1000&lt;0,0,(RD[[#This Row],[33 kV_F5_Ex
Incomer3]]-DU77)*1000)</f>
        <v>156799.99999999563</v>
      </c>
      <c r="EM78" s="140">
        <f>IF((RD[[#This Row],[34 kV_F5_Im
Incomer3]]-DV77)*1000&lt;0,0,(RD[[#This Row],[34 kV_F5_Im
Incomer3]]-DV77)*1000)</f>
        <v>500</v>
      </c>
      <c r="EN78" s="140">
        <f>IF((RD[[#This Row],[33 kV_F6_Ex
Incomer4]]-DW77)*1000&lt;0,0,(RD[[#This Row],[33 kV_F6_Ex
Incomer4]]-DW77)*1000)</f>
        <v>14699.999999998909</v>
      </c>
      <c r="EO78" s="140">
        <f t="shared" si="166"/>
        <v>299.99999999998295</v>
      </c>
      <c r="EP78" s="140">
        <f>IF((RD[[#This Row],[33 kV_F7_Ex
Incomer5]]-DY77)*1000&lt;0,0,(RD[[#This Row],[33 kV_F7_Ex
Incomer5]]-DY77)*1000)</f>
        <v>144500</v>
      </c>
      <c r="EQ78" s="140">
        <f>IF((RD[[#This Row],[33 kV_F7_Im
Incomer5]]-DZ77)*1000&lt;0,0,(RD[[#This Row],[33 kV_F7_Im
Incomer5]]-DZ77)*1000)</f>
        <v>300.00000000000068</v>
      </c>
      <c r="ER78" s="140">
        <f>IF((RD[[#This Row],[33 kV_Aux Trafo]]-EA77)*1000&lt;0,0,(RD[[#This Row],[33 kV_Aux Trafo]]-EA77)*1000)</f>
        <v>290.00000000000625</v>
      </c>
      <c r="ES78" s="152">
        <f>IF((RD[[#This Row],[33kV_OG1_Ex_]]-EB77)*1&lt;0,0,(RD[[#This Row],[33kV_OG1_Ex_]]-EB77)*1)</f>
        <v>592183</v>
      </c>
      <c r="ET78" s="140">
        <f>IF((RD[[#This Row],[33kV_OG1_Im]]-EC77)*1&lt;0,0,(RD[[#This Row],[33kV_OG1_Im]]-EC77)*1)</f>
        <v>1913.2800000000279</v>
      </c>
      <c r="EU78" s="140">
        <f>IF((RD[[#This Row],[132kV_TX1_EX]]-ED77)*720&lt;=0,"",(RD[[#This Row],[132kV_TX1_EX]]-ED77)*720)</f>
        <v>2160</v>
      </c>
      <c r="EV78" s="140">
        <f>IF((RD[[#This Row],[132 kV_Tx1_Im]]-EE77)*720&lt;=0,0,(RD[[#This Row],[132 kV_Tx1_Im]]-EE77)*720)</f>
        <v>424800</v>
      </c>
      <c r="EW78" s="140">
        <f>IF((RD[[#This Row],[132kV_L1_Ex]]-EF77)*720&lt;=0,0,(RD[[#This Row],[132kV_L1_Ex]]-EF77)*720)</f>
        <v>590184.00000000838</v>
      </c>
      <c r="EX78" s="140">
        <f>IF((RD[[#This Row],[132kV_L1_Im]]-EG77)*720&lt;=0,0,(RD[[#This Row],[132kV_L1_Im]]-EG77)*720)</f>
        <v>2375.9999999999673</v>
      </c>
      <c r="EY78" s="231">
        <f>IFERROR(RD[[#This Row],[33kV_OG1_Ex (MWh)]]+RD[[#This Row],[33kV_OG1_Im (MWh)]],"")</f>
        <v>594096.28</v>
      </c>
      <c r="EZ78" s="142">
        <f>RD[[#This Row],[33kV_OG1_Ex (MWh)]]-RD[[#This Row],[33kV_OG1_Im (MWh)]]</f>
        <v>590269.72</v>
      </c>
      <c r="FA78" s="142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32">
        <f>IFERROR((RD[[#This Row],[Sunset Time (POA&lt;20 W/m2)]]-RD[[#This Row],[Sunrise Time (POA&gt;20 W/m2)]])*24,0)</f>
        <v>12.7</v>
      </c>
      <c r="FD78" s="233">
        <v>122.7</v>
      </c>
      <c r="FE78" t="s">
        <v>296</v>
      </c>
      <c r="FG78" s="138" t="str">
        <f>IFERROR(RD[[#This Row],[E_AC (WPR)]]/RD[[#This Row],[E_DC (WPR)]],"")</f>
        <v/>
      </c>
    </row>
    <row r="79" spans="1:163">
      <c r="A79" s="130">
        <f t="shared" si="161"/>
        <v>45819</v>
      </c>
      <c r="B79" s="132">
        <f>YEAR(RD[[#This Row],[Date]])+IF(MONTH(RD[[#This Row],[Date]])&gt;=4,1,0)</f>
        <v>2026</v>
      </c>
      <c r="C79" s="132">
        <f>YEAR(RD[[#This Row],[Date]])</f>
        <v>2025</v>
      </c>
      <c r="D79" s="133">
        <f t="shared" si="165"/>
        <v>45809</v>
      </c>
      <c r="E79" s="132">
        <f>DAY(EOMONTH(RD[[#This Row],[Date]],0))</f>
        <v>30</v>
      </c>
      <c r="F79" s="146">
        <v>0.25138888888888888</v>
      </c>
      <c r="G79" s="156">
        <v>0.76041666666666663</v>
      </c>
      <c r="H79" s="121">
        <v>4930</v>
      </c>
      <c r="I79" s="257">
        <v>4839</v>
      </c>
      <c r="J79" s="121">
        <v>4535.8</v>
      </c>
      <c r="K79" s="121">
        <v>4538.5</v>
      </c>
      <c r="L79" s="121">
        <v>4676</v>
      </c>
      <c r="M79" s="121">
        <v>4853.2</v>
      </c>
      <c r="N79" s="121">
        <v>4711.6000000000004</v>
      </c>
      <c r="O79" s="121">
        <v>5251.2</v>
      </c>
      <c r="P79" s="121">
        <v>4826.7</v>
      </c>
      <c r="Q79" s="121">
        <v>4685.3999999999996</v>
      </c>
      <c r="R79" s="121">
        <v>4851.8999999999996</v>
      </c>
      <c r="S79" s="255">
        <v>4823.2</v>
      </c>
      <c r="T79" s="121">
        <v>5064.1000000000004</v>
      </c>
      <c r="U79" s="121">
        <v>4831.8</v>
      </c>
      <c r="V79" s="121">
        <v>5024.6000000000004</v>
      </c>
      <c r="W79" s="121">
        <v>4802.2</v>
      </c>
      <c r="X79" s="255">
        <v>6650.6</v>
      </c>
      <c r="Y79" s="192">
        <v>7493</v>
      </c>
      <c r="Z79" s="192">
        <v>6538.7</v>
      </c>
      <c r="AA79" s="192">
        <v>6821</v>
      </c>
      <c r="AB79" s="255">
        <v>7225.7</v>
      </c>
      <c r="AC79" s="192">
        <v>4285.8</v>
      </c>
      <c r="AD79" s="192">
        <v>6696.6</v>
      </c>
      <c r="AE79" s="192">
        <v>6830.4</v>
      </c>
      <c r="AF79" s="255">
        <v>6634.4</v>
      </c>
      <c r="AG79" s="192">
        <v>6594.8</v>
      </c>
      <c r="AH79" s="192">
        <v>6669.3</v>
      </c>
      <c r="AI79" s="255">
        <v>6702.2</v>
      </c>
      <c r="AJ79" s="192">
        <v>5514.6</v>
      </c>
      <c r="AK79" s="255">
        <v>5689.3</v>
      </c>
      <c r="AL79" s="192">
        <v>5611.6</v>
      </c>
      <c r="AM79" s="255">
        <v>5666.7</v>
      </c>
      <c r="AN79" s="192">
        <v>5617.3</v>
      </c>
      <c r="AO79" s="255">
        <v>5839.6</v>
      </c>
      <c r="AP79" s="192">
        <v>5728.9</v>
      </c>
      <c r="AQ79" s="255">
        <v>5660.6</v>
      </c>
      <c r="AR79" s="192">
        <v>4577.3999999999996</v>
      </c>
      <c r="AS79" s="255">
        <v>4609.3</v>
      </c>
      <c r="AT79" s="192">
        <v>4597.6000000000004</v>
      </c>
      <c r="AU79" s="255">
        <v>4561.3</v>
      </c>
      <c r="AV79" s="192">
        <v>4690.2</v>
      </c>
      <c r="AW79" s="192">
        <v>4634.8999999999996</v>
      </c>
      <c r="AX79" s="192">
        <v>6529.7</v>
      </c>
      <c r="AY79" s="192">
        <v>7385.9</v>
      </c>
      <c r="AZ79" s="192">
        <v>5323.7</v>
      </c>
      <c r="BA79" s="192">
        <v>6447.3</v>
      </c>
      <c r="BB79" s="192">
        <v>6380.6</v>
      </c>
      <c r="BC79" s="192">
        <v>6164.7</v>
      </c>
      <c r="BD79" s="192">
        <v>5521.1</v>
      </c>
      <c r="BE79" s="192">
        <v>6209</v>
      </c>
      <c r="BF79" s="192">
        <v>6726.7</v>
      </c>
      <c r="BG79" s="192">
        <v>6705</v>
      </c>
      <c r="BH79" s="192">
        <v>6593.3</v>
      </c>
      <c r="BI79" s="192">
        <v>6774</v>
      </c>
      <c r="BJ79" s="192">
        <v>4372</v>
      </c>
      <c r="BK79" s="192">
        <v>3422</v>
      </c>
      <c r="BL79" s="192">
        <v>4041</v>
      </c>
      <c r="BM79" s="192">
        <v>4103</v>
      </c>
      <c r="BN79" s="192">
        <v>4508.5</v>
      </c>
      <c r="BO79" s="192">
        <v>4331.8999999999996</v>
      </c>
      <c r="BP79" s="192">
        <v>4810</v>
      </c>
      <c r="BQ79" s="192">
        <v>4792.2</v>
      </c>
      <c r="BR79" s="192">
        <v>4915.2</v>
      </c>
      <c r="BS79" s="192">
        <v>5074.8</v>
      </c>
      <c r="BT79" s="192">
        <v>4988.3</v>
      </c>
      <c r="BU79" s="192">
        <v>5146</v>
      </c>
      <c r="BV79" s="192"/>
      <c r="BW79" s="192"/>
      <c r="BX79" s="192"/>
      <c r="BY79" s="192"/>
      <c r="BZ79" s="192">
        <v>633</v>
      </c>
      <c r="CA79" s="192">
        <v>530</v>
      </c>
      <c r="CB79" s="192">
        <v>2602</v>
      </c>
      <c r="CC79" s="192">
        <v>4389.8</v>
      </c>
      <c r="CD79" s="250">
        <v>4.1416427166666718</v>
      </c>
      <c r="CE79" s="250">
        <v>3.5241049000000042</v>
      </c>
      <c r="CF79" s="250">
        <v>3.1590414000000009</v>
      </c>
      <c r="CG79" s="250">
        <v>3.5745955166666641</v>
      </c>
      <c r="CH79" s="250">
        <v>0.40037251666666712</v>
      </c>
      <c r="CI79" s="250">
        <v>0.54498210000000036</v>
      </c>
      <c r="CJ79" s="250">
        <v>0.62536391666666646</v>
      </c>
      <c r="CK79" s="250">
        <v>0.57115420000000006</v>
      </c>
      <c r="CL79" s="250">
        <v>30.328360927152321</v>
      </c>
      <c r="CM79" s="250">
        <v>30.52962840627578</v>
      </c>
      <c r="CN79" s="250">
        <v>40.999921357615897</v>
      </c>
      <c r="CO79" s="250">
        <v>38.77404211395541</v>
      </c>
      <c r="CP79" s="250">
        <v>61.67705298013243</v>
      </c>
      <c r="CQ79" s="250">
        <v>62.643616845582173</v>
      </c>
      <c r="CR79" s="250">
        <v>0</v>
      </c>
      <c r="CS79" s="250">
        <v>0</v>
      </c>
      <c r="CT79" s="250">
        <v>1.8192864238410622</v>
      </c>
      <c r="CU79" s="250">
        <v>2.0122246077621799</v>
      </c>
      <c r="CV79" s="250">
        <v>3.4409999999999998</v>
      </c>
      <c r="CW79" s="250">
        <v>3.6</v>
      </c>
      <c r="CX79" s="193">
        <f>IFERROR(AVERAGEIF(RD[[#This Row],[IS1POA1 (KWh/m2)]:[IS7POA2 (KWh/m2)]],"&lt;&gt;0",RD[[#This Row],[IS1POA1 (KWh/m2)]:[IS7POA2 (KWh/m2)]]),"")</f>
        <v>3.8328738083333382</v>
      </c>
      <c r="CY79" s="193">
        <f>IFERROR(AVERAGEIF(RD[[#This Row],[IS1GHI1 (KWh/m2)]:[IS7GHI2 (KWh/m2)]],"&lt;&gt;0",RD[[#This Row],[IS1GHI1 (KWh/m2)]:[IS7GHI2 (KWh/m2)]]),"")</f>
        <v>3.3668184583333325</v>
      </c>
      <c r="CZ79" s="193">
        <f>IFERROR(AVERAGEIF(RD[[#This Row],[IS1POA_BS1 (KWh/m2)]:[IS7POA_BS2 (KWh/m2)]],"&lt;&gt;0",RD[[#This Row],[IS1POA_BS1 (KWh/m2)]:[IS7POA_BS2 (KWh/m2)]]),"")</f>
        <v>0.47267730833333377</v>
      </c>
      <c r="DA79" s="193">
        <f>IFERROR(AVERAGEIF(RD[[#This Row],[IS1GHI_BS1 (KWh/m2)]:[IS1GHI_BS1 (KWh/m2)2]],"&lt;&gt;0",RD[[#This Row],[IS1GHI_BS1 (KWh/m2)]:[IS1GHI_BS1 (KWh/m2)2]]),"")</f>
        <v>0.59825905833333326</v>
      </c>
      <c r="DB79" s="193">
        <f>IFERROR(AVERAGEIF(RD[[#This Row],[IS1AT1 (°C)]:[IS7AT2 (°C)]],"&lt;&gt;0",RD[[#This Row],[IS1AT1 (°C)]:[IS7AT2 (°C)]]),"")</f>
        <v>30.428994666714051</v>
      </c>
      <c r="DC79" s="193">
        <f>IFERROR(AVERAGEIF(RD[[#This Row],[IS1MT1 (°C)]:[IS7MT2 (°C)]],"&lt;&gt;0",RD[[#This Row],[IS1MT1 (°C)]:[IS7MT2 (°C)]]),"")</f>
        <v>39.886981735785653</v>
      </c>
      <c r="DD79" s="193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193">
        <f>IFERROR(AVERAGEIF(RD[[#This Row],[WS_Solar1_Avg (m/s)]:[IS7_WS_Solar1_Avg (m/s)]],"&lt;&gt;0",RD[[#This Row],[WS_Solar1_Avg (m/s)]:[IS7_WS_Solar1_Avg (m/s)]]),"")</f>
        <v>1.9157555158016211</v>
      </c>
      <c r="DG79" s="193">
        <f>IFERROR(AVERAGEIF(RD[[#This Row],[WS_Solar1_Max (m/s)]:[IS7_WS_Solar1_Max (m/s)]],"&lt;&gt;0",RD[[#This Row],[WS_Solar1_Max (m/s)]:[IS7_WS_Solar1_Max (m/s)]]),"")</f>
        <v>3.5205000000000002</v>
      </c>
      <c r="DH79" s="193">
        <f>SUM(RD[[#This Row],[IS1Inv1M1]:[IS4Inv4M2]])</f>
        <v>156387.69999999998</v>
      </c>
      <c r="DI79" s="194">
        <f>SUM(RD[[#This Row],[IS7Inv1M1]]+RD[[#This Row],[IS7Inv2M1]])</f>
        <v>9186.7000000000007</v>
      </c>
      <c r="DJ79" s="193">
        <f>SUM(RD[[#This Row],[IS5Inv1M1]:[IS5Inv2M2]])</f>
        <v>22482.2</v>
      </c>
      <c r="DK79" s="193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75">
        <f>SUM(RD[[#This Row],[IS12Inv1M1]:[IS12Inv1M4]])</f>
        <v>18442.599999999999</v>
      </c>
      <c r="DO79" s="275">
        <f>SUM(RD[[#This Row],[IS13Inv1M1]:[IS13Inv2M2]])</f>
        <v>20124.3</v>
      </c>
      <c r="DP79" s="193">
        <f>SUM(RD[[#This Row],[O2R15]:[O2R26]])</f>
        <v>368807.7</v>
      </c>
      <c r="DQ79" s="158">
        <v>43027.7</v>
      </c>
      <c r="DR79" s="162">
        <v>219.1</v>
      </c>
      <c r="DS79" s="158">
        <v>37478.300000000003</v>
      </c>
      <c r="DT79" s="158">
        <v>231.7</v>
      </c>
      <c r="DU79" s="162">
        <v>44014.400000000001</v>
      </c>
      <c r="DV79" s="162">
        <v>415.7</v>
      </c>
      <c r="DW79" s="158">
        <v>10273.5</v>
      </c>
      <c r="DX79" s="162">
        <v>51.2</v>
      </c>
      <c r="DY79" s="162">
        <v>1535.6</v>
      </c>
      <c r="DZ79" s="162">
        <v>4.9000000000000004</v>
      </c>
      <c r="EA79" s="134">
        <v>101.55</v>
      </c>
      <c r="EB79" s="230">
        <v>139905236</v>
      </c>
      <c r="EC79" s="229">
        <v>986738.81599999999</v>
      </c>
      <c r="ED79" s="230">
        <v>1186</v>
      </c>
      <c r="EE79" s="230">
        <v>134147</v>
      </c>
      <c r="EF79" s="158">
        <v>193991.5</v>
      </c>
      <c r="EG79" s="158">
        <v>1920.7</v>
      </c>
      <c r="EH79" s="140">
        <f>IF((RD[[#This Row],[33 kV_F3_Ex
Incomer1]]-DQ78)*1000&lt;0,0,(RD[[#This Row],[33 kV_F3_Ex
Incomer1]]-DQ78)*1000)</f>
        <v>78699.99999999709</v>
      </c>
      <c r="EI79" s="140">
        <f>IF((RD[[#This Row],[34 kV_F3_Im
Incomer1]]-DR78)*1000&lt;0,0,(RD[[#This Row],[34 kV_F3_Im
Incomer1]]-DR78)*1000)</f>
        <v>400.00000000000568</v>
      </c>
      <c r="EJ79" s="140">
        <f>IF((RD[[#This Row],[33 kV_F4_Ex
Incomer2]]-DS78)*1000&lt;0,0,(RD[[#This Row],[33 kV_F4_Ex
Incomer2]]-DS78)*1000)</f>
        <v>76400.000000001455</v>
      </c>
      <c r="EK79" s="140">
        <f>IF((RD[[#This Row],[34 kV_F4_Im
Incomer2]]-DT78)*1000&lt;0,0,(RD[[#This Row],[34 kV_F4_Im
Incomer2]]-DT78)*1000)</f>
        <v>399.99999999997726</v>
      </c>
      <c r="EL79" s="140">
        <f>IF((RD[[#This Row],[33 kV_F5_Ex
Incomer3]]-DU78)*1000&lt;0,0,(RD[[#This Row],[33 kV_F5_Ex
Incomer3]]-DU78)*1000)</f>
        <v>97800.00000000291</v>
      </c>
      <c r="EM79" s="140">
        <f>IF((RD[[#This Row],[34 kV_F5_Im
Incomer3]]-DV78)*1000&lt;0,0,(RD[[#This Row],[34 kV_F5_Im
Incomer3]]-DV78)*1000)</f>
        <v>699.99999999998863</v>
      </c>
      <c r="EN79" s="140">
        <f>IF((RD[[#This Row],[33 kV_F6_Ex
Incomer4]]-DW78)*1000&lt;0,0,(RD[[#This Row],[33 kV_F6_Ex
Incomer4]]-DW78)*1000)</f>
        <v>8200.0000000007276</v>
      </c>
      <c r="EO79" s="140">
        <f t="shared" si="166"/>
        <v>400.00000000000568</v>
      </c>
      <c r="EP79" s="140">
        <f>IF((RD[[#This Row],[33 kV_F7_Ex
Incomer5]]-DY78)*1000&lt;0,0,(RD[[#This Row],[33 kV_F7_Ex
Incomer5]]-DY78)*1000)</f>
        <v>89599.999999999913</v>
      </c>
      <c r="EQ79" s="140">
        <f>IF((RD[[#This Row],[33 kV_F7_Im
Incomer5]]-DZ78)*1000&lt;0,0,(RD[[#This Row],[33 kV_F7_Im
Incomer5]]-DZ78)*1000)</f>
        <v>500</v>
      </c>
      <c r="ER79" s="140">
        <f>IF((RD[[#This Row],[33 kV_Aux Trafo]]-EA78)*1000&lt;0,0,(RD[[#This Row],[33 kV_Aux Trafo]]-EA78)*1000)</f>
        <v>269.99999999999602</v>
      </c>
      <c r="ES79" s="152">
        <f>IF((RD[[#This Row],[33kV_OG1_Ex_]]-EB78)*1&lt;0,0,(RD[[#This Row],[33kV_OG1_Ex_]]-EB78)*1)</f>
        <v>365101</v>
      </c>
      <c r="ET79" s="140">
        <f>IF((RD[[#This Row],[33kV_OG1_Im]]-EC78)*1&lt;0,0,(RD[[#This Row],[33kV_OG1_Im]]-EC78)*1)</f>
        <v>2115.1359999999404</v>
      </c>
      <c r="EU79" s="140">
        <f>IF((RD[[#This Row],[132kV_TX1_EX]]-ED78)*720&lt;=0,"",(RD[[#This Row],[132kV_TX1_EX]]-ED78)*720)</f>
        <v>1440</v>
      </c>
      <c r="EV79" s="140">
        <f>IF((RD[[#This Row],[132 kV_Tx1_Im]]-EE78)*720&lt;=0,0,(RD[[#This Row],[132 kV_Tx1_Im]]-EE78)*720)</f>
        <v>262080</v>
      </c>
      <c r="EW79" s="140">
        <f>IF((RD[[#This Row],[132kV_L1_Ex]]-EF78)*720&lt;=0,0,(RD[[#This Row],[132kV_L1_Ex]]-EF78)*720)</f>
        <v>363887.99999999581</v>
      </c>
      <c r="EX79" s="140">
        <f>IF((RD[[#This Row],[132kV_L1_Im]]-EG78)*720&lt;=0,0,(RD[[#This Row],[132kV_L1_Im]]-EG78)*720)</f>
        <v>2592.0000000000982</v>
      </c>
      <c r="EY79" s="231">
        <f>IFERROR(RD[[#This Row],[33kV_OG1_Ex (MWh)]]+RD[[#This Row],[33kV_OG1_Im (MWh)]],"")</f>
        <v>367216.13599999994</v>
      </c>
      <c r="EZ79" s="142">
        <f>RD[[#This Row],[33kV_OG1_Ex (MWh)]]-RD[[#This Row],[33kV_OG1_Im (MWh)]]</f>
        <v>362985.86400000006</v>
      </c>
      <c r="FA79" s="142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32">
        <f>IFERROR((RD[[#This Row],[Sunset Time (POA&lt;20 W/m2)]]-RD[[#This Row],[Sunrise Time (POA&gt;20 W/m2)]])*24,0)</f>
        <v>12.216666666666665</v>
      </c>
      <c r="FD79" s="233">
        <v>122.7</v>
      </c>
      <c r="FE79" t="s">
        <v>297</v>
      </c>
      <c r="FG79" s="138" t="str">
        <f>IFERROR(RD[[#This Row],[E_AC (WPR)]]/RD[[#This Row],[E_DC (WPR)]],"")</f>
        <v/>
      </c>
    </row>
    <row r="80" spans="1:163">
      <c r="A80" s="130">
        <f t="shared" si="161"/>
        <v>45820</v>
      </c>
      <c r="B80" s="132">
        <f>YEAR(RD[[#This Row],[Date]])+IF(MONTH(RD[[#This Row],[Date]])&gt;=4,1,0)</f>
        <v>2026</v>
      </c>
      <c r="C80" s="132">
        <f>YEAR(RD[[#This Row],[Date]])</f>
        <v>2025</v>
      </c>
      <c r="D80" s="133">
        <f t="shared" si="165"/>
        <v>45809</v>
      </c>
      <c r="E80" s="132">
        <f>DAY(EOMONTH(RD[[#This Row],[Date]],0))</f>
        <v>30</v>
      </c>
      <c r="F80" s="146">
        <v>0.25069444444444444</v>
      </c>
      <c r="G80" s="156">
        <v>0.74652777777777779</v>
      </c>
      <c r="H80" s="121">
        <v>7348.3</v>
      </c>
      <c r="I80" s="257">
        <v>7307.8</v>
      </c>
      <c r="J80" s="121">
        <v>6868.6</v>
      </c>
      <c r="K80" s="121">
        <v>6804.2</v>
      </c>
      <c r="L80" s="121">
        <v>6983.9</v>
      </c>
      <c r="M80" s="121">
        <v>7253.4</v>
      </c>
      <c r="N80" s="121">
        <v>7063.4</v>
      </c>
      <c r="O80" s="121">
        <v>7806.8</v>
      </c>
      <c r="P80" s="121">
        <v>7172</v>
      </c>
      <c r="Q80" s="121">
        <v>6944.9</v>
      </c>
      <c r="R80" s="121">
        <v>7230.1</v>
      </c>
      <c r="S80" s="255">
        <v>7239</v>
      </c>
      <c r="T80" s="121">
        <v>7567</v>
      </c>
      <c r="U80" s="121">
        <v>7226.5</v>
      </c>
      <c r="V80" s="121">
        <v>7359.8</v>
      </c>
      <c r="W80" s="121">
        <v>7114.1</v>
      </c>
      <c r="X80" s="255">
        <v>9905.5</v>
      </c>
      <c r="Y80" s="192">
        <v>10960.5</v>
      </c>
      <c r="Z80" s="192">
        <v>9664.2000000000007</v>
      </c>
      <c r="AA80" s="192">
        <v>10137.4</v>
      </c>
      <c r="AB80" s="255">
        <v>10610.8</v>
      </c>
      <c r="AC80" s="192">
        <v>6380.8</v>
      </c>
      <c r="AD80" s="192">
        <v>9796.1</v>
      </c>
      <c r="AE80" s="192">
        <v>9967.2999999999993</v>
      </c>
      <c r="AF80" s="255">
        <v>9767.2000000000007</v>
      </c>
      <c r="AG80" s="192">
        <v>9776.9</v>
      </c>
      <c r="AH80" s="192">
        <v>9696.9</v>
      </c>
      <c r="AI80" s="255">
        <v>9743.7000000000007</v>
      </c>
      <c r="AJ80" s="192">
        <v>8192.2999999999993</v>
      </c>
      <c r="AK80" s="255">
        <v>8393</v>
      </c>
      <c r="AL80" s="192">
        <v>8175</v>
      </c>
      <c r="AM80" s="255">
        <v>8234.5</v>
      </c>
      <c r="AN80" s="192">
        <v>8257.2000000000007</v>
      </c>
      <c r="AO80" s="255">
        <v>8536.6</v>
      </c>
      <c r="AP80" s="192">
        <v>8431.7999999999993</v>
      </c>
      <c r="AQ80" s="255">
        <v>8292.6</v>
      </c>
      <c r="AR80" s="192">
        <v>6777.6</v>
      </c>
      <c r="AS80" s="255">
        <v>6806.8</v>
      </c>
      <c r="AT80" s="192">
        <v>6771.7</v>
      </c>
      <c r="AU80" s="255">
        <v>6713</v>
      </c>
      <c r="AV80" s="192">
        <v>6914.9</v>
      </c>
      <c r="AW80" s="192">
        <v>6834.2</v>
      </c>
      <c r="AX80" s="192">
        <v>9651.9</v>
      </c>
      <c r="AY80" s="192">
        <v>10852.9</v>
      </c>
      <c r="AZ80" s="192">
        <v>7805.9</v>
      </c>
      <c r="BA80" s="192">
        <v>9409.9</v>
      </c>
      <c r="BB80" s="192">
        <v>8838</v>
      </c>
      <c r="BC80" s="192">
        <v>8677</v>
      </c>
      <c r="BD80" s="192">
        <v>9095.5</v>
      </c>
      <c r="BE80" s="192">
        <v>10058.5</v>
      </c>
      <c r="BF80" s="192">
        <v>11230</v>
      </c>
      <c r="BG80" s="192">
        <v>10990</v>
      </c>
      <c r="BH80" s="192">
        <v>10671.7</v>
      </c>
      <c r="BI80" s="192">
        <v>11001.2</v>
      </c>
      <c r="BJ80" s="192">
        <v>7377</v>
      </c>
      <c r="BK80" s="192">
        <v>5820.5</v>
      </c>
      <c r="BL80" s="192">
        <v>6820</v>
      </c>
      <c r="BM80" s="192">
        <v>6951.9</v>
      </c>
      <c r="BN80" s="192">
        <v>7434.7</v>
      </c>
      <c r="BO80" s="192">
        <v>7194</v>
      </c>
      <c r="BP80" s="192">
        <v>7802.6</v>
      </c>
      <c r="BQ80" s="192">
        <v>7798.6</v>
      </c>
      <c r="BR80" s="192">
        <v>8267.1</v>
      </c>
      <c r="BS80" s="192">
        <v>8527.1</v>
      </c>
      <c r="BT80" s="192">
        <v>8274</v>
      </c>
      <c r="BU80" s="192">
        <v>8582</v>
      </c>
      <c r="BV80" s="192"/>
      <c r="BW80" s="192"/>
      <c r="BX80" s="192"/>
      <c r="BY80" s="192"/>
      <c r="BZ80" s="192">
        <v>1180</v>
      </c>
      <c r="CA80" s="192">
        <v>1000</v>
      </c>
      <c r="CB80" s="192">
        <v>4516</v>
      </c>
      <c r="CC80" s="192">
        <v>7506.9</v>
      </c>
      <c r="CD80" s="250">
        <v>6.5062667500000009</v>
      </c>
      <c r="CE80" s="250">
        <v>5.3872034999999965</v>
      </c>
      <c r="CF80" s="250">
        <v>4.9435502333333377</v>
      </c>
      <c r="CG80" s="250">
        <v>5.522758016666665</v>
      </c>
      <c r="CH80" s="250">
        <v>0.68390245000000005</v>
      </c>
      <c r="CI80" s="250">
        <v>0.78629981666666693</v>
      </c>
      <c r="CJ80" s="250">
        <v>0.96310836666666566</v>
      </c>
      <c r="CK80" s="250">
        <v>0.86410233333333319</v>
      </c>
      <c r="CL80" s="250">
        <v>29.245390505359875</v>
      </c>
      <c r="CM80" s="250">
        <v>28.986417112299488</v>
      </c>
      <c r="CN80" s="250">
        <v>41.833496937212892</v>
      </c>
      <c r="CO80" s="250">
        <v>39.638981665393409</v>
      </c>
      <c r="CP80" s="250">
        <v>74.287993874425752</v>
      </c>
      <c r="CQ80" s="250">
        <v>73.765721925133676</v>
      </c>
      <c r="CR80" s="250">
        <v>0.24808575803981689</v>
      </c>
      <c r="CS80" s="250">
        <v>0.15584415584415584</v>
      </c>
      <c r="CT80" s="250">
        <v>1.3921010719754963</v>
      </c>
      <c r="CU80" s="250">
        <v>1.3734751718869358</v>
      </c>
      <c r="CV80" s="250">
        <v>7.2629999999999999</v>
      </c>
      <c r="CW80" s="250">
        <v>6.0540000000000003</v>
      </c>
      <c r="CX80" s="193">
        <f>IFERROR(AVERAGEIF(RD[[#This Row],[IS1POA1 (KWh/m2)]:[IS7POA2 (KWh/m2)]],"&lt;&gt;0",RD[[#This Row],[IS1POA1 (KWh/m2)]:[IS7POA2 (KWh/m2)]]),"")</f>
        <v>5.9467351249999982</v>
      </c>
      <c r="CY80" s="193">
        <f>IFERROR(AVERAGEIF(RD[[#This Row],[IS1GHI1 (KWh/m2)]:[IS7GHI2 (KWh/m2)]],"&lt;&gt;0",RD[[#This Row],[IS1GHI1 (KWh/m2)]:[IS7GHI2 (KWh/m2)]]),"")</f>
        <v>5.2331541250000013</v>
      </c>
      <c r="CZ80" s="193">
        <f>IFERROR(AVERAGEIF(RD[[#This Row],[IS1POA_BS1 (KWh/m2)]:[IS7POA_BS2 (KWh/m2)]],"&lt;&gt;0",RD[[#This Row],[IS1POA_BS1 (KWh/m2)]:[IS7POA_BS2 (KWh/m2)]]),"")</f>
        <v>0.73510113333333349</v>
      </c>
      <c r="DA80" s="193">
        <f>IFERROR(AVERAGEIF(RD[[#This Row],[IS1GHI_BS1 (KWh/m2)]:[IS1GHI_BS1 (KWh/m2)2]],"&lt;&gt;0",RD[[#This Row],[IS1GHI_BS1 (KWh/m2)]:[IS1GHI_BS1 (KWh/m2)2]]),"")</f>
        <v>0.91360534999999943</v>
      </c>
      <c r="DB80" s="193">
        <f>IFERROR(AVERAGEIF(RD[[#This Row],[IS1AT1 (°C)]:[IS7AT2 (°C)]],"&lt;&gt;0",RD[[#This Row],[IS1AT1 (°C)]:[IS7AT2 (°C)]]),"")</f>
        <v>29.115903808829682</v>
      </c>
      <c r="DC80" s="193">
        <f>IFERROR(AVERAGEIF(RD[[#This Row],[IS1MT1 (°C)]:[IS7MT2 (°C)]],"&lt;&gt;0",RD[[#This Row],[IS1MT1 (°C)]:[IS7MT2 (°C)]]),"")</f>
        <v>40.736239301303151</v>
      </c>
      <c r="DD80" s="193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193">
        <f>IFERROR(AVERAGEIF(RD[[#This Row],[WS_Solar1_Avg (m/s)]:[IS7_WS_Solar1_Avg (m/s)]],"&lt;&gt;0",RD[[#This Row],[WS_Solar1_Avg (m/s)]:[IS7_WS_Solar1_Avg (m/s)]]),"")</f>
        <v>1.3827881219312159</v>
      </c>
      <c r="DG80" s="193">
        <f>IFERROR(AVERAGEIF(RD[[#This Row],[WS_Solar1_Max (m/s)]:[IS7_WS_Solar1_Max (m/s)]],"&lt;&gt;0",RD[[#This Row],[WS_Solar1_Max (m/s)]:[IS7_WS_Solar1_Max (m/s)]]),"")</f>
        <v>6.6585000000000001</v>
      </c>
      <c r="DH80" s="193">
        <f>SUM(RD[[#This Row],[IS1Inv1M1]:[IS4Inv4M2]])</f>
        <v>231697.1</v>
      </c>
      <c r="DI80" s="194">
        <f>SUM(RD[[#This Row],[IS7Inv1M1]]+RD[[#This Row],[IS7Inv2M1]])</f>
        <v>13584.400000000001</v>
      </c>
      <c r="DJ80" s="193">
        <f>SUM(RD[[#This Row],[IS5Inv1M1]:[IS5Inv2M2]])</f>
        <v>32994.800000000003</v>
      </c>
      <c r="DK80" s="193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75">
        <f>SUM(RD[[#This Row],[IS12Inv1M1]:[IS12Inv1M4]])</f>
        <v>30229.9</v>
      </c>
      <c r="DO80" s="275">
        <f>SUM(RD[[#This Row],[IS13Inv1M1]:[IS13Inv2M2]])</f>
        <v>33650.199999999997</v>
      </c>
      <c r="DP80" s="193">
        <f>SUM(RD[[#This Row],[O2R15]:[O2R26]])</f>
        <v>562363.19999999995</v>
      </c>
      <c r="DQ80" s="158">
        <v>43143.3</v>
      </c>
      <c r="DR80" s="162">
        <v>219.5</v>
      </c>
      <c r="DS80" s="158">
        <v>37590.699999999997</v>
      </c>
      <c r="DT80" s="158">
        <v>232.1</v>
      </c>
      <c r="DU80" s="162">
        <v>44157.599999999999</v>
      </c>
      <c r="DV80" s="162">
        <v>416.4</v>
      </c>
      <c r="DW80" s="158">
        <v>10287.5</v>
      </c>
      <c r="DX80" s="162">
        <v>51.4</v>
      </c>
      <c r="DY80" s="162">
        <v>1679.8</v>
      </c>
      <c r="DZ80" s="162">
        <v>5.6</v>
      </c>
      <c r="EA80" s="134">
        <v>101.82</v>
      </c>
      <c r="EB80" s="230">
        <v>140458016</v>
      </c>
      <c r="EC80" s="229">
        <v>989624.19200000004</v>
      </c>
      <c r="ED80" s="230">
        <v>1190</v>
      </c>
      <c r="EE80" s="230">
        <v>134697</v>
      </c>
      <c r="EF80" s="158">
        <v>194756.8</v>
      </c>
      <c r="EG80" s="158">
        <v>1925.6</v>
      </c>
      <c r="EH80" s="140">
        <f>IF((RD[[#This Row],[33 kV_F3_Ex
Incomer1]]-DQ79)*1000&lt;0,0,(RD[[#This Row],[33 kV_F3_Ex
Incomer1]]-DQ79)*1000)</f>
        <v>115600.00000000582</v>
      </c>
      <c r="EI80" s="140">
        <f>IF((RD[[#This Row],[34 kV_F3_Im
Incomer1]]-DR79)*1000&lt;0,0,(RD[[#This Row],[34 kV_F3_Im
Incomer1]]-DR79)*1000)</f>
        <v>400.00000000000568</v>
      </c>
      <c r="EJ80" s="140">
        <f>IF((RD[[#This Row],[33 kV_F4_Ex
Incomer2]]-DS79)*1000&lt;0,0,(RD[[#This Row],[33 kV_F4_Ex
Incomer2]]-DS79)*1000)</f>
        <v>112399.99999999418</v>
      </c>
      <c r="EK80" s="140">
        <f>IF((RD[[#This Row],[34 kV_F4_Im
Incomer2]]-DT79)*1000&lt;0,0,(RD[[#This Row],[34 kV_F4_Im
Incomer2]]-DT79)*1000)</f>
        <v>400.00000000000568</v>
      </c>
      <c r="EL80" s="140">
        <f>IF((RD[[#This Row],[33 kV_F5_Ex
Incomer3]]-DU79)*1000&lt;0,0,(RD[[#This Row],[33 kV_F5_Ex
Incomer3]]-DU79)*1000)</f>
        <v>143199.99999999709</v>
      </c>
      <c r="EM80" s="140">
        <f>IF((RD[[#This Row],[34 kV_F5_Im
Incomer3]]-DV79)*1000&lt;0,0,(RD[[#This Row],[34 kV_F5_Im
Incomer3]]-DV79)*1000)</f>
        <v>699.99999999998863</v>
      </c>
      <c r="EN80" s="140">
        <f>IF((RD[[#This Row],[33 kV_F6_Ex
Incomer4]]-DW79)*1000&lt;0,0,(RD[[#This Row],[33 kV_F6_Ex
Incomer4]]-DW79)*1000)</f>
        <v>14000</v>
      </c>
      <c r="EO80" s="140">
        <f t="shared" si="166"/>
        <v>400.00000000000568</v>
      </c>
      <c r="EP80" s="140">
        <f>IF((RD[[#This Row],[33 kV_F7_Ex
Incomer5]]-DY79)*1000&lt;0,0,(RD[[#This Row],[33 kV_F7_Ex
Incomer5]]-DY79)*1000)</f>
        <v>144200.00000000006</v>
      </c>
      <c r="EQ80" s="140">
        <f>IF((RD[[#This Row],[33 kV_F7_Im
Incomer5]]-DZ79)*1000&lt;0,0,(RD[[#This Row],[33 kV_F7_Im
Incomer5]]-DZ79)*1000)</f>
        <v>699.99999999999932</v>
      </c>
      <c r="ER80" s="140">
        <f>IF((RD[[#This Row],[33 kV_Aux Trafo]]-EA79)*1000&lt;0,0,(RD[[#This Row],[33 kV_Aux Trafo]]-EA79)*1000)</f>
        <v>269.99999999999602</v>
      </c>
      <c r="ES80" s="152">
        <f>IF((RD[[#This Row],[33kV_OG1_Ex_]]-EB79)*1&lt;0,0,(RD[[#This Row],[33kV_OG1_Ex_]]-EB79)*1)</f>
        <v>552780</v>
      </c>
      <c r="ET80" s="140">
        <f>IF((RD[[#This Row],[33kV_OG1_Im]]-EC79)*1&lt;0,0,(RD[[#This Row],[33kV_OG1_Im]]-EC79)*1)</f>
        <v>2885.3760000000475</v>
      </c>
      <c r="EU80" s="140">
        <f>IF((RD[[#This Row],[132kV_TX1_EX]]-ED79)*720&lt;=0,"",(RD[[#This Row],[132kV_TX1_EX]]-ED79)*720)</f>
        <v>2880</v>
      </c>
      <c r="EV80" s="140">
        <f>IF((RD[[#This Row],[132 kV_Tx1_Im]]-EE79)*720&lt;=0,0,(RD[[#This Row],[132 kV_Tx1_Im]]-EE79)*720)</f>
        <v>396000</v>
      </c>
      <c r="EW80" s="140">
        <f>IF((RD[[#This Row],[132kV_L1_Ex]]-EF79)*720&lt;=0,0,(RD[[#This Row],[132kV_L1_Ex]]-EF79)*720)</f>
        <v>551015.99999999162</v>
      </c>
      <c r="EX80" s="140">
        <f>IF((RD[[#This Row],[132kV_L1_Im]]-EG79)*720&lt;=0,0,(RD[[#This Row],[132kV_L1_Im]]-EG79)*720)</f>
        <v>3527.9999999999018</v>
      </c>
      <c r="EY80" s="231">
        <f>IFERROR(RD[[#This Row],[33kV_OG1_Ex (MWh)]]+RD[[#This Row],[33kV_OG1_Im (MWh)]],"")</f>
        <v>555665.37600000005</v>
      </c>
      <c r="EZ80" s="142">
        <f>RD[[#This Row],[33kV_OG1_Ex (MWh)]]-RD[[#This Row],[33kV_OG1_Im (MWh)]]</f>
        <v>549894.62399999995</v>
      </c>
      <c r="FA80" s="142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32">
        <f>IFERROR((RD[[#This Row],[Sunset Time (POA&lt;20 W/m2)]]-RD[[#This Row],[Sunrise Time (POA&gt;20 W/m2)]])*24,0)</f>
        <v>11.9</v>
      </c>
      <c r="FD80" s="233">
        <v>122.7</v>
      </c>
      <c r="FE80" t="s">
        <v>298</v>
      </c>
      <c r="FG80" s="138" t="str">
        <f>IFERROR(RD[[#This Row],[E_AC (WPR)]]/RD[[#This Row],[E_DC (WPR)]],"")</f>
        <v/>
      </c>
    </row>
    <row r="81" spans="1:163">
      <c r="A81" s="130">
        <f t="shared" si="161"/>
        <v>45821</v>
      </c>
      <c r="B81" s="132">
        <f>YEAR(RD[[#This Row],[Date]])+IF(MONTH(RD[[#This Row],[Date]])&gt;=4,1,0)</f>
        <v>2026</v>
      </c>
      <c r="C81" s="132">
        <f>YEAR(RD[[#This Row],[Date]])</f>
        <v>2025</v>
      </c>
      <c r="D81" s="133">
        <f t="shared" si="165"/>
        <v>45809</v>
      </c>
      <c r="E81" s="132">
        <f>DAY(EOMONTH(RD[[#This Row],[Date]],0))</f>
        <v>30</v>
      </c>
      <c r="F81" s="146">
        <v>0.25069444444444444</v>
      </c>
      <c r="G81" s="156">
        <v>0.77638888888888891</v>
      </c>
      <c r="H81" s="121">
        <v>8210.1</v>
      </c>
      <c r="I81" s="257">
        <v>8159.7</v>
      </c>
      <c r="J81" s="121">
        <v>7744.1</v>
      </c>
      <c r="K81" s="121">
        <v>7846.4</v>
      </c>
      <c r="L81" s="121">
        <v>8108.4</v>
      </c>
      <c r="M81" s="121">
        <v>8353.2999999999993</v>
      </c>
      <c r="N81" s="121">
        <v>8074.8</v>
      </c>
      <c r="O81" s="121">
        <v>8690.7999999999993</v>
      </c>
      <c r="P81" s="121">
        <v>8079.8</v>
      </c>
      <c r="Q81" s="121">
        <v>7851.2</v>
      </c>
      <c r="R81" s="121">
        <v>8122.2</v>
      </c>
      <c r="S81" s="255">
        <v>8130.7</v>
      </c>
      <c r="T81" s="121">
        <v>8518.4</v>
      </c>
      <c r="U81" s="121">
        <v>8071.6</v>
      </c>
      <c r="V81" s="121">
        <v>8240.6</v>
      </c>
      <c r="W81" s="121">
        <v>8060.5</v>
      </c>
      <c r="X81" s="255">
        <v>11157.5</v>
      </c>
      <c r="Y81" s="192">
        <v>11932.2</v>
      </c>
      <c r="Z81" s="192">
        <v>10962.6</v>
      </c>
      <c r="AA81" s="192">
        <v>11537.4</v>
      </c>
      <c r="AB81" s="255">
        <v>11635.2</v>
      </c>
      <c r="AC81" s="192">
        <v>7274.9</v>
      </c>
      <c r="AD81" s="192">
        <v>11132.6</v>
      </c>
      <c r="AE81" s="192">
        <v>11272</v>
      </c>
      <c r="AF81" s="255">
        <v>11047.9</v>
      </c>
      <c r="AG81" s="192">
        <v>11088</v>
      </c>
      <c r="AH81" s="192">
        <v>10936</v>
      </c>
      <c r="AI81" s="255">
        <v>10963.4</v>
      </c>
      <c r="AJ81" s="192">
        <v>9247.5</v>
      </c>
      <c r="AK81" s="255">
        <v>9501</v>
      </c>
      <c r="AL81" s="192">
        <v>9511.5</v>
      </c>
      <c r="AM81" s="255">
        <v>9717</v>
      </c>
      <c r="AN81" s="192">
        <v>9457</v>
      </c>
      <c r="AO81" s="255">
        <v>9889.6</v>
      </c>
      <c r="AP81" s="192">
        <v>9641.7000000000007</v>
      </c>
      <c r="AQ81" s="255">
        <v>9643.2999999999993</v>
      </c>
      <c r="AR81" s="192">
        <v>8000.7</v>
      </c>
      <c r="AS81" s="255">
        <v>8109.7</v>
      </c>
      <c r="AT81" s="192">
        <v>7942</v>
      </c>
      <c r="AU81" s="255">
        <v>7875</v>
      </c>
      <c r="AV81" s="192">
        <v>8191.6</v>
      </c>
      <c r="AW81" s="192">
        <v>8149</v>
      </c>
      <c r="AX81" s="192">
        <v>10947.5</v>
      </c>
      <c r="AY81" s="192">
        <v>12157</v>
      </c>
      <c r="AZ81" s="192">
        <v>9040</v>
      </c>
      <c r="BA81" s="192">
        <v>11042.5</v>
      </c>
      <c r="BB81" s="192">
        <v>9320.7999999999993</v>
      </c>
      <c r="BC81" s="192">
        <v>9029.6</v>
      </c>
      <c r="BD81" s="192">
        <v>9678</v>
      </c>
      <c r="BE81" s="192">
        <v>10718</v>
      </c>
      <c r="BF81" s="192">
        <v>12510</v>
      </c>
      <c r="BG81" s="192">
        <v>11215</v>
      </c>
      <c r="BH81" s="192">
        <v>11343.5</v>
      </c>
      <c r="BI81" s="192">
        <v>11721</v>
      </c>
      <c r="BJ81" s="192">
        <v>7757</v>
      </c>
      <c r="BK81" s="192">
        <v>6200</v>
      </c>
      <c r="BL81" s="192">
        <v>7294.9</v>
      </c>
      <c r="BM81" s="192">
        <v>7311</v>
      </c>
      <c r="BN81" s="192">
        <v>8075</v>
      </c>
      <c r="BO81" s="192">
        <v>7990</v>
      </c>
      <c r="BP81" s="192">
        <v>8233</v>
      </c>
      <c r="BQ81" s="192">
        <v>8102</v>
      </c>
      <c r="BR81" s="192">
        <v>8843.9</v>
      </c>
      <c r="BS81" s="192">
        <v>9162</v>
      </c>
      <c r="BT81" s="192">
        <v>8990</v>
      </c>
      <c r="BU81" s="192">
        <v>9321</v>
      </c>
      <c r="BV81" s="192"/>
      <c r="BW81" s="192"/>
      <c r="BX81" s="192"/>
      <c r="BY81" s="192"/>
      <c r="BZ81" s="192">
        <v>1231.8</v>
      </c>
      <c r="CA81" s="192">
        <v>1050</v>
      </c>
      <c r="CB81" s="192">
        <v>4759</v>
      </c>
      <c r="CC81" s="192">
        <v>7932</v>
      </c>
      <c r="CD81" s="250">
        <v>7.5539500333333249</v>
      </c>
      <c r="CE81" s="250">
        <v>4.3333333333333304</v>
      </c>
      <c r="CF81" s="250">
        <v>5.7569642499999949</v>
      </c>
      <c r="CG81" s="250">
        <v>3.4166666666666701</v>
      </c>
      <c r="CH81" s="250">
        <v>0.74359071666666754</v>
      </c>
      <c r="CI81" s="250">
        <v>2.3461666666666687E-3</v>
      </c>
      <c r="CJ81" s="250">
        <v>1.0490957333333351</v>
      </c>
      <c r="CK81" s="250">
        <v>1.6295999999999999E-3</v>
      </c>
      <c r="CL81" s="250">
        <v>30.571987720644639</v>
      </c>
      <c r="CM81" s="250">
        <v>5.2325727411944882</v>
      </c>
      <c r="CN81" s="250">
        <v>45.633159631619357</v>
      </c>
      <c r="CO81" s="250">
        <v>6.0656676875957096</v>
      </c>
      <c r="CP81" s="250">
        <v>73.476438986953411</v>
      </c>
      <c r="CQ81" s="250">
        <v>19.251898928024506</v>
      </c>
      <c r="CR81" s="250">
        <v>0</v>
      </c>
      <c r="CS81" s="250">
        <v>0</v>
      </c>
      <c r="CT81" s="250">
        <v>0.84872141212586116</v>
      </c>
      <c r="CU81" s="250">
        <v>0.17374732006125587</v>
      </c>
      <c r="CV81" s="250">
        <v>2.9729999999999999</v>
      </c>
      <c r="CW81" s="250">
        <v>1.6679999999999999</v>
      </c>
      <c r="CX81" s="193">
        <f>IFERROR(AVERAGEIF(RD[[#This Row],[IS1POA1 (KWh/m2)]:[IS7POA2 (KWh/m2)]],"&lt;&gt;0",RD[[#This Row],[IS1POA1 (KWh/m2)]:[IS7POA2 (KWh/m2)]]),"")</f>
        <v>5.9436416833333272</v>
      </c>
      <c r="CY81" s="193">
        <f>IFERROR(AVERAGEIF(RD[[#This Row],[IS1GHI1 (KWh/m2)]:[IS7GHI2 (KWh/m2)]],"&lt;&gt;0",RD[[#This Row],[IS1GHI1 (KWh/m2)]:[IS7GHI2 (KWh/m2)]]),"")</f>
        <v>4.5868154583333327</v>
      </c>
      <c r="CZ81" s="193">
        <f>IFERROR(AVERAGEIF(RD[[#This Row],[IS1POA_BS1 (KWh/m2)]:[IS7POA_BS2 (KWh/m2)]],"&lt;&gt;0",RD[[#This Row],[IS1POA_BS1 (KWh/m2)]:[IS7POA_BS2 (KWh/m2)]]),"")</f>
        <v>0.37296844166666709</v>
      </c>
      <c r="DA81" s="193">
        <f>IFERROR(AVERAGEIF(RD[[#This Row],[IS1GHI_BS1 (KWh/m2)]:[IS1GHI_BS1 (KWh/m2)2]],"&lt;&gt;0",RD[[#This Row],[IS1GHI_BS1 (KWh/m2)]:[IS1GHI_BS1 (KWh/m2)2]]),"")</f>
        <v>0.52536266666666753</v>
      </c>
      <c r="DB81" s="193">
        <f>IFERROR(AVERAGEIF(RD[[#This Row],[IS1AT1 (°C)]:[IS7AT2 (°C)]],"&lt;&gt;0",RD[[#This Row],[IS1AT1 (°C)]:[IS7AT2 (°C)]]),"")</f>
        <v>17.902280230919565</v>
      </c>
      <c r="DC81" s="193">
        <f>IFERROR(AVERAGEIF(RD[[#This Row],[IS1MT1 (°C)]:[IS7MT2 (°C)]],"&lt;&gt;0",RD[[#This Row],[IS1MT1 (°C)]:[IS7MT2 (°C)]]),"")</f>
        <v>25.849413659607535</v>
      </c>
      <c r="DD81" s="193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193">
        <f>IFERROR(AVERAGEIF(RD[[#This Row],[WS_Solar1_Avg (m/s)]:[IS7_WS_Solar1_Avg (m/s)]],"&lt;&gt;0",RD[[#This Row],[WS_Solar1_Avg (m/s)]:[IS7_WS_Solar1_Avg (m/s)]]),"")</f>
        <v>0.51123436609355855</v>
      </c>
      <c r="DG81" s="193">
        <f>IFERROR(AVERAGEIF(RD[[#This Row],[WS_Solar1_Max (m/s)]:[IS7_WS_Solar1_Max (m/s)]],"&lt;&gt;0",RD[[#This Row],[WS_Solar1_Max (m/s)]:[IS7_WS_Solar1_Max (m/s)]]),"")</f>
        <v>2.3205</v>
      </c>
      <c r="DH81" s="193">
        <f>SUM(RD[[#This Row],[IS1Inv1M1]:[IS4Inv4M2]])</f>
        <v>261202.30000000002</v>
      </c>
      <c r="DI81" s="194">
        <f>SUM(RD[[#This Row],[IS7Inv1M1]]+RD[[#This Row],[IS7Inv2M1]])</f>
        <v>16110.4</v>
      </c>
      <c r="DJ81" s="193">
        <f>SUM(RD[[#This Row],[IS5Inv1M1]:[IS5Inv2M2]])</f>
        <v>37977</v>
      </c>
      <c r="DK81" s="193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75">
        <f>SUM(RD[[#This Row],[IS12Inv1M1]:[IS12Inv1M4]])</f>
        <v>32400</v>
      </c>
      <c r="DO81" s="275">
        <f>SUM(RD[[#This Row],[IS13Inv1M1]:[IS13Inv2M2]])</f>
        <v>36316.9</v>
      </c>
      <c r="DP81" s="193">
        <f>SUM(RD[[#This Row],[O2R15]:[O2R26]])</f>
        <v>627054.4</v>
      </c>
      <c r="DQ81" s="158">
        <v>43273.3</v>
      </c>
      <c r="DR81" s="162">
        <v>219.9</v>
      </c>
      <c r="DS81" s="158">
        <v>37715.5</v>
      </c>
      <c r="DT81" s="158">
        <v>232.4</v>
      </c>
      <c r="DU81" s="162">
        <v>44323.199999999997</v>
      </c>
      <c r="DV81" s="162">
        <v>417.7</v>
      </c>
      <c r="DW81" s="158">
        <v>10302.4</v>
      </c>
      <c r="DX81" s="162">
        <v>51.7</v>
      </c>
      <c r="DY81" s="162">
        <v>1829.7</v>
      </c>
      <c r="DZ81" s="162">
        <v>6.4</v>
      </c>
      <c r="EA81" s="134">
        <v>102.11</v>
      </c>
      <c r="EB81" s="230">
        <v>141069860</v>
      </c>
      <c r="EC81" s="229">
        <v>992910.33600000001</v>
      </c>
      <c r="ED81" s="230">
        <v>1194</v>
      </c>
      <c r="EE81" s="230">
        <v>135307</v>
      </c>
      <c r="EF81" s="158">
        <v>195603.8</v>
      </c>
      <c r="EG81" s="158">
        <v>1930.8</v>
      </c>
      <c r="EH81" s="140">
        <f>IF((RD[[#This Row],[33 kV_F3_Ex
Incomer1]]-DQ80)*1000&lt;0,0,(RD[[#This Row],[33 kV_F3_Ex
Incomer1]]-DQ80)*1000)</f>
        <v>130000</v>
      </c>
      <c r="EI81" s="140">
        <f>IF((RD[[#This Row],[34 kV_F3_Im
Incomer1]]-DR80)*1000&lt;0,0,(RD[[#This Row],[34 kV_F3_Im
Incomer1]]-DR80)*1000)</f>
        <v>400.00000000000568</v>
      </c>
      <c r="EJ81" s="140">
        <f>IF((RD[[#This Row],[33 kV_F4_Ex
Incomer2]]-DS80)*1000&lt;0,0,(RD[[#This Row],[33 kV_F4_Ex
Incomer2]]-DS80)*1000)</f>
        <v>124800.00000000291</v>
      </c>
      <c r="EK81" s="140">
        <f>IF((RD[[#This Row],[34 kV_F4_Im
Incomer2]]-DT80)*1000&lt;0,0,(RD[[#This Row],[34 kV_F4_Im
Incomer2]]-DT80)*1000)</f>
        <v>300.00000000001137</v>
      </c>
      <c r="EL81" s="140">
        <f>IF((RD[[#This Row],[33 kV_F5_Ex
Incomer3]]-DU80)*1000&lt;0,0,(RD[[#This Row],[33 kV_F5_Ex
Incomer3]]-DU80)*1000)</f>
        <v>165599.99999999854</v>
      </c>
      <c r="EM81" s="140">
        <f>IF((RD[[#This Row],[34 kV_F5_Im
Incomer3]]-DV80)*1000&lt;0,0,(RD[[#This Row],[34 kV_F5_Im
Incomer3]]-DV80)*1000)</f>
        <v>1300.0000000000114</v>
      </c>
      <c r="EN81" s="140">
        <f>IF((RD[[#This Row],[33 kV_F6_Ex
Incomer4]]-DW80)*1000&lt;0,0,(RD[[#This Row],[33 kV_F6_Ex
Incomer4]]-DW80)*1000)</f>
        <v>14899.999999999636</v>
      </c>
      <c r="EO81" s="140">
        <f t="shared" si="166"/>
        <v>300.00000000001137</v>
      </c>
      <c r="EP81" s="140">
        <f>IF((RD[[#This Row],[33 kV_F7_Ex
Incomer5]]-DY80)*1000&lt;0,0,(RD[[#This Row],[33 kV_F7_Ex
Incomer5]]-DY80)*1000)</f>
        <v>149900.00000000009</v>
      </c>
      <c r="EQ81" s="140">
        <f>IF((RD[[#This Row],[33 kV_F7_Im
Incomer5]]-DZ80)*1000&lt;0,0,(RD[[#This Row],[33 kV_F7_Im
Incomer5]]-DZ80)*1000)</f>
        <v>800.00000000000068</v>
      </c>
      <c r="ER81" s="140">
        <f>IF((RD[[#This Row],[33 kV_Aux Trafo]]-EA80)*1000&lt;0,0,(RD[[#This Row],[33 kV_Aux Trafo]]-EA80)*1000)</f>
        <v>290.00000000000625</v>
      </c>
      <c r="ES81" s="152">
        <f>IF((RD[[#This Row],[33kV_OG1_Ex_]]-EB80)*1&lt;0,0,(RD[[#This Row],[33kV_OG1_Ex_]]-EB80)*1)</f>
        <v>611844</v>
      </c>
      <c r="ET81" s="140">
        <f>IF((RD[[#This Row],[33kV_OG1_Im]]-EC80)*1&lt;0,0,(RD[[#This Row],[33kV_OG1_Im]]-EC80)*1)</f>
        <v>3286.1439999999711</v>
      </c>
      <c r="EU81" s="140">
        <f>IF((RD[[#This Row],[132kV_TX1_EX]]-ED80)*720&lt;=0,"",(RD[[#This Row],[132kV_TX1_EX]]-ED80)*720)</f>
        <v>2880</v>
      </c>
      <c r="EV81" s="140">
        <f>IF((RD[[#This Row],[132 kV_Tx1_Im]]-EE80)*720&lt;=0,0,(RD[[#This Row],[132 kV_Tx1_Im]]-EE80)*720)</f>
        <v>439200</v>
      </c>
      <c r="EW81" s="140">
        <f>IF((RD[[#This Row],[132kV_L1_Ex]]-EF80)*720&lt;=0,0,(RD[[#This Row],[132kV_L1_Ex]]-EF80)*720)</f>
        <v>609840</v>
      </c>
      <c r="EX81" s="140">
        <f>IF((RD[[#This Row],[132kV_L1_Im]]-EG80)*720&lt;=0,0,(RD[[#This Row],[132kV_L1_Im]]-EG80)*720)</f>
        <v>3744.0000000000327</v>
      </c>
      <c r="EY81" s="231">
        <f>IFERROR(RD[[#This Row],[33kV_OG1_Ex (MWh)]]+RD[[#This Row],[33kV_OG1_Im (MWh)]],"")</f>
        <v>615130.14399999997</v>
      </c>
      <c r="EZ81" s="142">
        <f>RD[[#This Row],[33kV_OG1_Ex (MWh)]]-RD[[#This Row],[33kV_OG1_Im (MWh)]]</f>
        <v>608557.85600000003</v>
      </c>
      <c r="FA81" s="142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32">
        <f>IFERROR((RD[[#This Row],[Sunset Time (POA&lt;20 W/m2)]]-RD[[#This Row],[Sunrise Time (POA&gt;20 W/m2)]])*24,0)</f>
        <v>12.616666666666667</v>
      </c>
      <c r="FD81" s="233">
        <v>122.7</v>
      </c>
      <c r="FE81" t="s">
        <v>299</v>
      </c>
      <c r="FG81" s="138" t="str">
        <f>IFERROR(RD[[#This Row],[E_AC (WPR)]]/RD[[#This Row],[E_DC (WPR)]],"")</f>
        <v/>
      </c>
    </row>
    <row r="82" spans="1:163">
      <c r="A82" s="130">
        <f t="shared" si="161"/>
        <v>45822</v>
      </c>
      <c r="B82" s="132">
        <f>YEAR(RD[[#This Row],[Date]])+IF(MONTH(RD[[#This Row],[Date]])&gt;=4,1,0)</f>
        <v>2026</v>
      </c>
      <c r="C82" s="132">
        <f>YEAR(RD[[#This Row],[Date]])</f>
        <v>2025</v>
      </c>
      <c r="D82" s="133">
        <f t="shared" si="165"/>
        <v>45809</v>
      </c>
      <c r="E82" s="132">
        <f>DAY(EOMONTH(RD[[#This Row],[Date]],0))</f>
        <v>30</v>
      </c>
      <c r="F82" s="146">
        <v>0.24722222222222223</v>
      </c>
      <c r="G82" s="156">
        <v>0.77222222222222225</v>
      </c>
      <c r="H82" s="121">
        <v>7578.7</v>
      </c>
      <c r="I82" s="257">
        <v>7593.7</v>
      </c>
      <c r="J82" s="121">
        <v>7075.9</v>
      </c>
      <c r="K82" s="121">
        <v>6973.4</v>
      </c>
      <c r="L82" s="121">
        <v>7262.4</v>
      </c>
      <c r="M82" s="121">
        <v>7550</v>
      </c>
      <c r="N82" s="121">
        <v>7277.3</v>
      </c>
      <c r="O82" s="121">
        <v>7994.8</v>
      </c>
      <c r="P82" s="121">
        <v>7407.5</v>
      </c>
      <c r="Q82" s="121">
        <v>7151.1</v>
      </c>
      <c r="R82" s="121">
        <v>7592.5</v>
      </c>
      <c r="S82" s="255">
        <v>7643.1</v>
      </c>
      <c r="T82" s="121">
        <v>7898.1</v>
      </c>
      <c r="U82" s="121">
        <v>7840.2</v>
      </c>
      <c r="V82" s="121">
        <v>7657.8</v>
      </c>
      <c r="W82" s="121">
        <v>7376.2</v>
      </c>
      <c r="X82" s="255">
        <v>10755.6</v>
      </c>
      <c r="Y82" s="192">
        <v>11929.6</v>
      </c>
      <c r="Z82" s="192">
        <v>10211.299999999999</v>
      </c>
      <c r="AA82" s="192">
        <v>10803</v>
      </c>
      <c r="AB82" s="255">
        <v>11515.1</v>
      </c>
      <c r="AC82" s="192">
        <v>7180.4</v>
      </c>
      <c r="AD82" s="192">
        <v>10956.9</v>
      </c>
      <c r="AE82" s="192">
        <v>10995.5</v>
      </c>
      <c r="AF82" s="255">
        <v>10849.8</v>
      </c>
      <c r="AG82" s="192">
        <v>10889</v>
      </c>
      <c r="AH82" s="192">
        <v>10785.9</v>
      </c>
      <c r="AI82" s="255">
        <v>10828.4</v>
      </c>
      <c r="AJ82" s="192">
        <v>8837.5</v>
      </c>
      <c r="AK82" s="255">
        <v>8972.4</v>
      </c>
      <c r="AL82" s="192">
        <v>8423</v>
      </c>
      <c r="AM82" s="255">
        <v>8365.7999999999993</v>
      </c>
      <c r="AN82" s="192">
        <v>8762</v>
      </c>
      <c r="AO82" s="255">
        <v>8875.6</v>
      </c>
      <c r="AP82" s="192">
        <v>8881.9</v>
      </c>
      <c r="AQ82" s="255">
        <v>8611</v>
      </c>
      <c r="AR82" s="192">
        <v>6843</v>
      </c>
      <c r="AS82" s="255">
        <v>6803.8</v>
      </c>
      <c r="AT82" s="192">
        <v>6918</v>
      </c>
      <c r="AU82" s="255">
        <v>6837.6</v>
      </c>
      <c r="AV82" s="192">
        <v>6941.9</v>
      </c>
      <c r="AW82" s="192">
        <v>6811</v>
      </c>
      <c r="AX82" s="192">
        <v>10304</v>
      </c>
      <c r="AY82" s="192">
        <v>11440</v>
      </c>
      <c r="AZ82" s="192">
        <v>8292</v>
      </c>
      <c r="BA82" s="192">
        <v>9690</v>
      </c>
      <c r="BB82" s="192">
        <v>9065</v>
      </c>
      <c r="BC82" s="192">
        <v>8793.7999999999993</v>
      </c>
      <c r="BD82" s="192">
        <v>8925.7000000000007</v>
      </c>
      <c r="BE82" s="192">
        <v>9931.7000000000007</v>
      </c>
      <c r="BF82" s="192">
        <v>9057</v>
      </c>
      <c r="BG82" s="192">
        <v>9503</v>
      </c>
      <c r="BH82" s="192">
        <v>10791.6</v>
      </c>
      <c r="BI82" s="192">
        <v>11126</v>
      </c>
      <c r="BJ82" s="192">
        <v>7749</v>
      </c>
      <c r="BK82" s="192">
        <v>6249.8</v>
      </c>
      <c r="BL82" s="192">
        <v>7508</v>
      </c>
      <c r="BM82" s="192">
        <v>7453.9</v>
      </c>
      <c r="BN82" s="192">
        <v>7972</v>
      </c>
      <c r="BO82" s="192">
        <v>7749</v>
      </c>
      <c r="BP82" s="192">
        <v>8433.6</v>
      </c>
      <c r="BQ82" s="192">
        <v>8373</v>
      </c>
      <c r="BR82" s="192">
        <v>9105</v>
      </c>
      <c r="BS82" s="192">
        <v>9403</v>
      </c>
      <c r="BT82" s="192">
        <v>8969.6</v>
      </c>
      <c r="BU82" s="192">
        <v>9540</v>
      </c>
      <c r="BV82" s="192"/>
      <c r="BW82" s="192"/>
      <c r="BX82" s="192"/>
      <c r="BY82" s="192"/>
      <c r="BZ82" s="192">
        <v>1318</v>
      </c>
      <c r="CA82" s="192">
        <v>1115</v>
      </c>
      <c r="CB82" s="192">
        <v>5002</v>
      </c>
      <c r="CC82" s="192">
        <v>8284</v>
      </c>
      <c r="CD82" s="250">
        <v>6.871251516666673</v>
      </c>
      <c r="CE82" s="250">
        <v>6.871251516666673</v>
      </c>
      <c r="CF82" s="250">
        <v>5.2343621666666644</v>
      </c>
      <c r="CG82" s="250">
        <v>5.2343621666666644</v>
      </c>
      <c r="CH82" s="250">
        <v>0.71466563333333322</v>
      </c>
      <c r="CI82" s="250">
        <v>0.71466563333333322</v>
      </c>
      <c r="CJ82" s="250">
        <v>0.9810536999999997</v>
      </c>
      <c r="CK82" s="250">
        <v>0.9810536999999997</v>
      </c>
      <c r="CL82" s="250">
        <v>30.935410764872515</v>
      </c>
      <c r="CM82" s="250">
        <v>30.935410764872515</v>
      </c>
      <c r="CN82" s="250">
        <v>44.854223087818717</v>
      </c>
      <c r="CO82" s="250">
        <v>44.854223087818717</v>
      </c>
      <c r="CP82" s="250">
        <v>68.348158640226629</v>
      </c>
      <c r="CQ82" s="250">
        <v>68.348158640226629</v>
      </c>
      <c r="CR82" s="250">
        <v>0</v>
      </c>
      <c r="CS82" s="250">
        <v>0</v>
      </c>
      <c r="CT82" s="250">
        <v>0.81648441926345705</v>
      </c>
      <c r="CU82" s="250">
        <v>0.81648441926345705</v>
      </c>
      <c r="CV82" s="250">
        <v>4.2210000000000001</v>
      </c>
      <c r="CW82" s="250">
        <v>4.2210000000000001</v>
      </c>
      <c r="CX82" s="193">
        <f>IFERROR(AVERAGEIF(RD[[#This Row],[IS1POA1 (KWh/m2)]:[IS7POA2 (KWh/m2)]],"&lt;&gt;0",RD[[#This Row],[IS1POA1 (KWh/m2)]:[IS7POA2 (KWh/m2)]]),"")</f>
        <v>6.871251516666673</v>
      </c>
      <c r="CY82" s="193">
        <f>IFERROR(AVERAGEIF(RD[[#This Row],[IS1GHI1 (KWh/m2)]:[IS7GHI2 (KWh/m2)]],"&lt;&gt;0",RD[[#This Row],[IS1GHI1 (KWh/m2)]:[IS7GHI2 (KWh/m2)]]),"")</f>
        <v>5.2343621666666644</v>
      </c>
      <c r="CZ82" s="193">
        <f>IFERROR(AVERAGEIF(RD[[#This Row],[IS1POA_BS1 (KWh/m2)]:[IS7POA_BS2 (KWh/m2)]],"&lt;&gt;0",RD[[#This Row],[IS1POA_BS1 (KWh/m2)]:[IS7POA_BS2 (KWh/m2)]]),"")</f>
        <v>0.71466563333333322</v>
      </c>
      <c r="DA82" s="193">
        <f>IFERROR(AVERAGEIF(RD[[#This Row],[IS1GHI_BS1 (KWh/m2)]:[IS1GHI_BS1 (KWh/m2)2]],"&lt;&gt;0",RD[[#This Row],[IS1GHI_BS1 (KWh/m2)]:[IS1GHI_BS1 (KWh/m2)2]]),"")</f>
        <v>0.9810536999999997</v>
      </c>
      <c r="DB82" s="193">
        <f>IFERROR(AVERAGEIF(RD[[#This Row],[IS1AT1 (°C)]:[IS7AT2 (°C)]],"&lt;&gt;0",RD[[#This Row],[IS1AT1 (°C)]:[IS7AT2 (°C)]]),"")</f>
        <v>30.935410764872515</v>
      </c>
      <c r="DC82" s="193">
        <f>IFERROR(AVERAGEIF(RD[[#This Row],[IS1MT1 (°C)]:[IS7MT2 (°C)]],"&lt;&gt;0",RD[[#This Row],[IS1MT1 (°C)]:[IS7MT2 (°C)]]),"")</f>
        <v>44.854223087818717</v>
      </c>
      <c r="DD82" s="193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193">
        <f>IFERROR(AVERAGEIF(RD[[#This Row],[WS_Solar1_Avg (m/s)]:[IS7_WS_Solar1_Avg (m/s)]],"&lt;&gt;0",RD[[#This Row],[WS_Solar1_Avg (m/s)]:[IS7_WS_Solar1_Avg (m/s)]]),"")</f>
        <v>0.81648441926345705</v>
      </c>
      <c r="DG82" s="193">
        <f>IFERROR(AVERAGEIF(RD[[#This Row],[WS_Solar1_Max (m/s)]:[IS7_WS_Solar1_Max (m/s)]],"&lt;&gt;0",RD[[#This Row],[WS_Solar1_Max (m/s)]:[IS7_WS_Solar1_Max (m/s)]]),"")</f>
        <v>4.2210000000000001</v>
      </c>
      <c r="DH82" s="193">
        <f>SUM(RD[[#This Row],[IS1Inv1M1]:[IS4Inv4M2]])</f>
        <v>247573.19999999998</v>
      </c>
      <c r="DI82" s="194">
        <f>SUM(RD[[#This Row],[IS7Inv1M1]]+RD[[#This Row],[IS7Inv2M1]])</f>
        <v>13646.8</v>
      </c>
      <c r="DJ82" s="193">
        <f>SUM(RD[[#This Row],[IS5Inv1M1]:[IS5Inv2M2]])</f>
        <v>34598.699999999997</v>
      </c>
      <c r="DK82" s="193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75">
        <f>SUM(RD[[#This Row],[IS12Inv1M1]:[IS12Inv1M4]])</f>
        <v>32527.599999999999</v>
      </c>
      <c r="DO82" s="275">
        <f>SUM(RD[[#This Row],[IS13Inv1M1]:[IS13Inv2M2]])</f>
        <v>37017.599999999999</v>
      </c>
      <c r="DP82" s="193">
        <f>SUM(RD[[#This Row],[O2R15]:[O2R26]])</f>
        <v>589602.39999999991</v>
      </c>
      <c r="DQ82" s="158">
        <v>43400.2</v>
      </c>
      <c r="DR82" s="162">
        <v>220.4</v>
      </c>
      <c r="DS82" s="158">
        <v>37830.6</v>
      </c>
      <c r="DT82" s="158">
        <v>232.9</v>
      </c>
      <c r="DU82" s="162">
        <v>44472</v>
      </c>
      <c r="DV82" s="162">
        <v>419.4</v>
      </c>
      <c r="DW82" s="158">
        <v>10317.9</v>
      </c>
      <c r="DX82" s="162">
        <v>52</v>
      </c>
      <c r="DY82" s="162">
        <v>1980.7</v>
      </c>
      <c r="DZ82" s="162">
        <v>7.1</v>
      </c>
      <c r="EA82" s="134">
        <v>102.45</v>
      </c>
      <c r="EB82" s="230">
        <v>141654163</v>
      </c>
      <c r="EC82" s="229">
        <v>996937.85600000003</v>
      </c>
      <c r="ED82" s="230">
        <v>1198</v>
      </c>
      <c r="EE82" s="230">
        <v>135889</v>
      </c>
      <c r="EF82" s="158">
        <v>196412.79999999999</v>
      </c>
      <c r="EG82" s="158">
        <v>1937.4</v>
      </c>
      <c r="EH82" s="140">
        <f>IF((RD[[#This Row],[33 kV_F3_Ex
Incomer1]]-DQ81)*1000&lt;0,0,(RD[[#This Row],[33 kV_F3_Ex
Incomer1]]-DQ81)*1000)</f>
        <v>126899.99999999418</v>
      </c>
      <c r="EI82" s="140">
        <f>IF((RD[[#This Row],[34 kV_F3_Im
Incomer1]]-DR81)*1000&lt;0,0,(RD[[#This Row],[34 kV_F3_Im
Incomer1]]-DR81)*1000)</f>
        <v>500</v>
      </c>
      <c r="EJ82" s="140">
        <f>IF((RD[[#This Row],[33 kV_F4_Ex
Incomer2]]-DS81)*1000&lt;0,0,(RD[[#This Row],[33 kV_F4_Ex
Incomer2]]-DS81)*1000)</f>
        <v>115099.99999999854</v>
      </c>
      <c r="EK82" s="140">
        <f>IF((RD[[#This Row],[34 kV_F4_Im
Incomer2]]-DT81)*1000&lt;0,0,(RD[[#This Row],[34 kV_F4_Im
Incomer2]]-DT81)*1000)</f>
        <v>500</v>
      </c>
      <c r="EL82" s="140">
        <f>IF((RD[[#This Row],[33 kV_F5_Ex
Incomer3]]-DU81)*1000&lt;0,0,(RD[[#This Row],[33 kV_F5_Ex
Incomer3]]-DU81)*1000)</f>
        <v>148800.00000000291</v>
      </c>
      <c r="EM82" s="140">
        <f>IF((RD[[#This Row],[34 kV_F5_Im
Incomer3]]-DV81)*1000&lt;0,0,(RD[[#This Row],[34 kV_F5_Im
Incomer3]]-DV81)*1000)</f>
        <v>1699.9999999999886</v>
      </c>
      <c r="EN82" s="140">
        <f>IF((RD[[#This Row],[33 kV_F6_Ex
Incomer4]]-DW81)*1000&lt;0,0,(RD[[#This Row],[33 kV_F6_Ex
Incomer4]]-DW81)*1000)</f>
        <v>15500</v>
      </c>
      <c r="EO82" s="140">
        <f t="shared" si="166"/>
        <v>399.99999999997726</v>
      </c>
      <c r="EP82" s="140">
        <f>IF((RD[[#This Row],[33 kV_F7_Ex
Incomer5]]-DY81)*1000&lt;0,0,(RD[[#This Row],[33 kV_F7_Ex
Incomer5]]-DY81)*1000)</f>
        <v>151000</v>
      </c>
      <c r="EQ82" s="140">
        <f>IF((RD[[#This Row],[33 kV_F7_Im
Incomer5]]-DZ81)*1000&lt;0,0,(RD[[#This Row],[33 kV_F7_Im
Incomer5]]-DZ81)*1000)</f>
        <v>699.99999999999932</v>
      </c>
      <c r="ER82" s="140">
        <f>IF((RD[[#This Row],[33 kV_Aux Trafo]]-EA81)*1000&lt;0,0,(RD[[#This Row],[33 kV_Aux Trafo]]-EA81)*1000)</f>
        <v>340.00000000000341</v>
      </c>
      <c r="ES82" s="152">
        <f>IF((RD[[#This Row],[33kV_OG1_Ex_]]-EB81)*1&lt;0,0,(RD[[#This Row],[33kV_OG1_Ex_]]-EB81)*1)</f>
        <v>584303</v>
      </c>
      <c r="ET82" s="140">
        <f>IF((RD[[#This Row],[33kV_OG1_Im]]-EC81)*1&lt;0,0,(RD[[#This Row],[33kV_OG1_Im]]-EC81)*1)</f>
        <v>4027.5200000000186</v>
      </c>
      <c r="EU82" s="140">
        <f>IF((RD[[#This Row],[132kV_TX1_EX]]-ED81)*720&lt;=0,"",(RD[[#This Row],[132kV_TX1_EX]]-ED81)*720)</f>
        <v>2880</v>
      </c>
      <c r="EV82" s="140">
        <f>IF((RD[[#This Row],[132 kV_Tx1_Im]]-EE81)*720&lt;=0,0,(RD[[#This Row],[132 kV_Tx1_Im]]-EE81)*720)</f>
        <v>419040</v>
      </c>
      <c r="EW82" s="140">
        <f>IF((RD[[#This Row],[132kV_L1_Ex]]-EF81)*720&lt;=0,0,(RD[[#This Row],[132kV_L1_Ex]]-EF81)*720)</f>
        <v>582480</v>
      </c>
      <c r="EX82" s="140">
        <f>IF((RD[[#This Row],[132kV_L1_Im]]-EG81)*720&lt;=0,0,(RD[[#This Row],[132kV_L1_Im]]-EG81)*720)</f>
        <v>4752.0000000000982</v>
      </c>
      <c r="EY82" s="231">
        <f>IFERROR(RD[[#This Row],[33kV_OG1_Ex (MWh)]]+RD[[#This Row],[33kV_OG1_Im (MWh)]],"")</f>
        <v>588330.52</v>
      </c>
      <c r="EZ82" s="142">
        <f>RD[[#This Row],[33kV_OG1_Ex (MWh)]]-RD[[#This Row],[33kV_OG1_Im (MWh)]]</f>
        <v>580275.48</v>
      </c>
      <c r="FA82" s="142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32">
        <f>IFERROR((RD[[#This Row],[Sunset Time (POA&lt;20 W/m2)]]-RD[[#This Row],[Sunrise Time (POA&gt;20 W/m2)]])*24,0)</f>
        <v>12.600000000000001</v>
      </c>
      <c r="FD82" s="233">
        <v>122.7</v>
      </c>
      <c r="FE82" s="287" t="s">
        <v>293</v>
      </c>
      <c r="FG82" s="138" t="str">
        <f>IFERROR(RD[[#This Row],[E_AC (WPR)]]/RD[[#This Row],[E_DC (WPR)]],"")</f>
        <v/>
      </c>
    </row>
    <row r="83" spans="1:163">
      <c r="A83" s="130">
        <f t="shared" si="161"/>
        <v>45823</v>
      </c>
      <c r="B83" s="132">
        <f>YEAR(RD[[#This Row],[Date]])+IF(MONTH(RD[[#This Row],[Date]])&gt;=4,1,0)</f>
        <v>2026</v>
      </c>
      <c r="C83" s="132">
        <f>YEAR(RD[[#This Row],[Date]])</f>
        <v>2025</v>
      </c>
      <c r="D83" s="133">
        <f t="shared" si="165"/>
        <v>45809</v>
      </c>
      <c r="E83" s="132">
        <f>DAY(EOMONTH(RD[[#This Row],[Date]],0))</f>
        <v>30</v>
      </c>
      <c r="F83" s="146">
        <v>0.25694444444444442</v>
      </c>
      <c r="G83" s="156">
        <v>0.76111111111111107</v>
      </c>
      <c r="H83" s="121">
        <v>7252.8</v>
      </c>
      <c r="I83" s="257">
        <v>7317.7</v>
      </c>
      <c r="J83" s="121">
        <v>6979.5</v>
      </c>
      <c r="K83" s="121">
        <v>6687</v>
      </c>
      <c r="L83" s="121">
        <v>6735.1</v>
      </c>
      <c r="M83" s="121">
        <v>7138.4</v>
      </c>
      <c r="N83" s="121">
        <v>7024.1</v>
      </c>
      <c r="O83" s="121">
        <v>7553.1</v>
      </c>
      <c r="P83" s="121">
        <v>6927.4</v>
      </c>
      <c r="Q83" s="121">
        <v>6542</v>
      </c>
      <c r="R83" s="121">
        <v>6661.7</v>
      </c>
      <c r="S83" s="255">
        <v>6697.9</v>
      </c>
      <c r="T83" s="121">
        <v>7254.5</v>
      </c>
      <c r="U83" s="121">
        <v>6291</v>
      </c>
      <c r="V83" s="121">
        <v>7022.9</v>
      </c>
      <c r="W83" s="121">
        <v>6903.7</v>
      </c>
      <c r="X83" s="255">
        <v>9264.9</v>
      </c>
      <c r="Y83" s="192">
        <v>9725.7999999999993</v>
      </c>
      <c r="Z83" s="192">
        <v>9434.2000000000007</v>
      </c>
      <c r="AA83" s="192">
        <v>10013.299999999999</v>
      </c>
      <c r="AB83" s="255">
        <v>9562.9</v>
      </c>
      <c r="AC83" s="192">
        <v>6039.6</v>
      </c>
      <c r="AD83" s="192">
        <v>9095.7999999999993</v>
      </c>
      <c r="AE83" s="192">
        <v>9142.6</v>
      </c>
      <c r="AF83" s="255">
        <v>8855.9</v>
      </c>
      <c r="AG83" s="192">
        <v>8857.7999999999993</v>
      </c>
      <c r="AH83" s="192">
        <v>8872.2999999999993</v>
      </c>
      <c r="AI83" s="255">
        <v>8790.1</v>
      </c>
      <c r="AJ83" s="192">
        <v>7096.8</v>
      </c>
      <c r="AK83" s="255">
        <v>7232.8</v>
      </c>
      <c r="AL83" s="192">
        <v>7110.8</v>
      </c>
      <c r="AM83" s="255">
        <v>7172.9</v>
      </c>
      <c r="AN83" s="192">
        <v>7063.9</v>
      </c>
      <c r="AO83" s="255">
        <v>7257.8</v>
      </c>
      <c r="AP83" s="192">
        <v>7155.8</v>
      </c>
      <c r="AQ83" s="255">
        <v>7080.3</v>
      </c>
      <c r="AR83" s="192">
        <v>5614</v>
      </c>
      <c r="AS83" s="255">
        <v>5648.2</v>
      </c>
      <c r="AT83" s="192">
        <v>5681</v>
      </c>
      <c r="AU83" s="255">
        <v>5680.7</v>
      </c>
      <c r="AV83" s="192">
        <v>5771.3</v>
      </c>
      <c r="AW83" s="192">
        <v>5693</v>
      </c>
      <c r="AX83" s="192">
        <v>8261</v>
      </c>
      <c r="AY83" s="192">
        <v>9352.7999999999993</v>
      </c>
      <c r="AZ83" s="192">
        <v>6667.8</v>
      </c>
      <c r="BA83" s="192">
        <v>7863.8</v>
      </c>
      <c r="BB83" s="192">
        <v>8851.7000000000007</v>
      </c>
      <c r="BC83" s="192">
        <v>8503.9</v>
      </c>
      <c r="BD83" s="192">
        <v>9082.1</v>
      </c>
      <c r="BE83" s="192">
        <v>10040.799999999999</v>
      </c>
      <c r="BF83" s="192">
        <v>10840</v>
      </c>
      <c r="BG83" s="192">
        <v>10971.9</v>
      </c>
      <c r="BH83" s="192">
        <v>10816</v>
      </c>
      <c r="BI83" s="192">
        <v>11200.4</v>
      </c>
      <c r="BJ83" s="192">
        <v>7603.5</v>
      </c>
      <c r="BK83" s="192">
        <v>6136</v>
      </c>
      <c r="BL83" s="192">
        <v>7289.8</v>
      </c>
      <c r="BM83" s="192">
        <v>6136</v>
      </c>
      <c r="BN83" s="192">
        <v>7655.1</v>
      </c>
      <c r="BO83" s="192">
        <v>7345.9</v>
      </c>
      <c r="BP83" s="192">
        <v>7833</v>
      </c>
      <c r="BQ83" s="192">
        <v>7869.2</v>
      </c>
      <c r="BR83" s="192">
        <v>8864.6</v>
      </c>
      <c r="BS83" s="192">
        <v>9237.2999999999993</v>
      </c>
      <c r="BT83" s="192">
        <v>8577.7999999999993</v>
      </c>
      <c r="BU83" s="192">
        <v>9229.6</v>
      </c>
      <c r="BV83" s="192"/>
      <c r="BW83" s="192"/>
      <c r="BX83" s="192"/>
      <c r="BY83" s="192"/>
      <c r="BZ83" s="192">
        <v>1268.7</v>
      </c>
      <c r="CA83" s="192">
        <v>1075.5</v>
      </c>
      <c r="CB83" s="192">
        <v>4858.1000000000004</v>
      </c>
      <c r="CC83" s="192">
        <v>7882.5</v>
      </c>
      <c r="CD83" s="250">
        <v>6.834107899999994</v>
      </c>
      <c r="CE83" s="250">
        <v>6.834107899999994</v>
      </c>
      <c r="CF83" s="250">
        <v>5.2119190499999979</v>
      </c>
      <c r="CG83" s="250">
        <v>5.2119190499999979</v>
      </c>
      <c r="CH83" s="250">
        <v>0.68744010000000055</v>
      </c>
      <c r="CI83" s="250">
        <v>0.68744010000000055</v>
      </c>
      <c r="CJ83" s="250">
        <v>0.96393041666666623</v>
      </c>
      <c r="CK83" s="250">
        <v>0.96393041666666623</v>
      </c>
      <c r="CL83" s="250">
        <v>30.29257188498401</v>
      </c>
      <c r="CM83" s="250">
        <v>30.29257188498401</v>
      </c>
      <c r="CN83" s="250">
        <v>44.882682108626092</v>
      </c>
      <c r="CO83" s="250">
        <v>44.882682108626092</v>
      </c>
      <c r="CP83" s="250">
        <v>74.660862619808299</v>
      </c>
      <c r="CQ83" s="250">
        <v>74.660862619808299</v>
      </c>
      <c r="CR83" s="250">
        <v>0.10716627634660419</v>
      </c>
      <c r="CS83" s="250">
        <v>7.0962609387430375E-2</v>
      </c>
      <c r="CT83" s="250">
        <v>1.1507822014051516</v>
      </c>
      <c r="CU83" s="250">
        <v>1.1507822014051516</v>
      </c>
      <c r="CV83" s="250">
        <v>3.3420000000000001</v>
      </c>
      <c r="CW83" s="250">
        <v>3.3420000000000001</v>
      </c>
      <c r="CX83" s="193">
        <f>IFERROR(AVERAGEIF(RD[[#This Row],[IS1POA1 (KWh/m2)]:[IS7POA2 (KWh/m2)]],"&lt;&gt;0",RD[[#This Row],[IS1POA1 (KWh/m2)]:[IS7POA2 (KWh/m2)]]),"")</f>
        <v>6.834107899999994</v>
      </c>
      <c r="CY83" s="193">
        <f>IFERROR(AVERAGEIF(RD[[#This Row],[IS1GHI1 (KWh/m2)]:[IS7GHI2 (KWh/m2)]],"&lt;&gt;0",RD[[#This Row],[IS1GHI1 (KWh/m2)]:[IS7GHI2 (KWh/m2)]]),"")</f>
        <v>5.2119190499999979</v>
      </c>
      <c r="CZ83" s="193">
        <f>IFERROR(AVERAGEIF(RD[[#This Row],[IS1POA_BS1 (KWh/m2)]:[IS7POA_BS2 (KWh/m2)]],"&lt;&gt;0",RD[[#This Row],[IS1POA_BS1 (KWh/m2)]:[IS7POA_BS2 (KWh/m2)]]),"")</f>
        <v>0.68744010000000055</v>
      </c>
      <c r="DA83" s="193">
        <f>IFERROR(AVERAGEIF(RD[[#This Row],[IS1GHI_BS1 (KWh/m2)]:[IS1GHI_BS1 (KWh/m2)2]],"&lt;&gt;0",RD[[#This Row],[IS1GHI_BS1 (KWh/m2)]:[IS1GHI_BS1 (KWh/m2)2]]),"")</f>
        <v>0.96393041666666623</v>
      </c>
      <c r="DB83" s="193">
        <f>IFERROR(AVERAGEIF(RD[[#This Row],[IS1AT1 (°C)]:[IS7AT2 (°C)]],"&lt;&gt;0",RD[[#This Row],[IS1AT1 (°C)]:[IS7AT2 (°C)]]),"")</f>
        <v>30.29257188498401</v>
      </c>
      <c r="DC83" s="193">
        <f>IFERROR(AVERAGEIF(RD[[#This Row],[IS1MT1 (°C)]:[IS7MT2 (°C)]],"&lt;&gt;0",RD[[#This Row],[IS1MT1 (°C)]:[IS7MT2 (°C)]]),"")</f>
        <v>44.882682108626092</v>
      </c>
      <c r="DD83" s="193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193">
        <f>IFERROR(AVERAGEIF(RD[[#This Row],[WS_Solar1_Avg (m/s)]:[IS7_WS_Solar1_Avg (m/s)]],"&lt;&gt;0",RD[[#This Row],[WS_Solar1_Avg (m/s)]:[IS7_WS_Solar1_Avg (m/s)]]),"")</f>
        <v>1.1507822014051516</v>
      </c>
      <c r="DG83" s="193">
        <f>IFERROR(AVERAGEIF(RD[[#This Row],[WS_Solar1_Max (m/s)]:[IS7_WS_Solar1_Max (m/s)]],"&lt;&gt;0",RD[[#This Row],[WS_Solar1_Max (m/s)]:[IS7_WS_Solar1_Max (m/s)]]),"")</f>
        <v>3.3420000000000001</v>
      </c>
      <c r="DH83" s="193">
        <f>SUM(RD[[#This Row],[IS1Inv1M1]:[IS4Inv4M2]])</f>
        <v>218643.99999999994</v>
      </c>
      <c r="DI83" s="194">
        <f>SUM(RD[[#This Row],[IS7Inv1M1]]+RD[[#This Row],[IS7Inv2M1]])</f>
        <v>11262.2</v>
      </c>
      <c r="DJ83" s="193">
        <f>SUM(RD[[#This Row],[IS5Inv1M1]:[IS5Inv2M2]])</f>
        <v>28613.300000000003</v>
      </c>
      <c r="DK83" s="193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75">
        <f>SUM(RD[[#This Row],[IS12Inv1M1]:[IS12Inv1M4]])</f>
        <v>30703.200000000001</v>
      </c>
      <c r="DO83" s="275">
        <f>SUM(RD[[#This Row],[IS13Inv1M1]:[IS13Inv2M2]])</f>
        <v>35909.300000000003</v>
      </c>
      <c r="DP83" s="193">
        <f>SUM(RD[[#This Row],[O2R15]:[O2R26]])</f>
        <v>531218.1</v>
      </c>
      <c r="DQ83" s="158">
        <v>43507.1</v>
      </c>
      <c r="DR83" s="162">
        <v>220.6</v>
      </c>
      <c r="DS83" s="158">
        <v>37938</v>
      </c>
      <c r="DT83" s="158">
        <v>233.1</v>
      </c>
      <c r="DU83" s="162">
        <v>44594.1</v>
      </c>
      <c r="DV83" s="162">
        <v>420.3</v>
      </c>
      <c r="DW83" s="158">
        <v>10332.9</v>
      </c>
      <c r="DX83" s="162">
        <v>52.1</v>
      </c>
      <c r="DY83" s="162">
        <v>2128.1</v>
      </c>
      <c r="DZ83" s="162">
        <v>7.6</v>
      </c>
      <c r="EA83" s="134">
        <v>102.68</v>
      </c>
      <c r="EB83" s="230">
        <v>142178959</v>
      </c>
      <c r="EC83" s="229">
        <v>999191.16799999995</v>
      </c>
      <c r="ED83" s="230">
        <v>1201</v>
      </c>
      <c r="EE83" s="230">
        <v>136411</v>
      </c>
      <c r="EF83" s="158">
        <v>197139.4</v>
      </c>
      <c r="EG83" s="158">
        <v>1941</v>
      </c>
      <c r="EH83" s="140">
        <f>IF((RD[[#This Row],[33 kV_F3_Ex
Incomer1]]-DQ82)*1000&lt;0,0,(RD[[#This Row],[33 kV_F3_Ex
Incomer1]]-DQ82)*1000)</f>
        <v>106900.00000000146</v>
      </c>
      <c r="EI83" s="140">
        <f>IF((RD[[#This Row],[34 kV_F3_Im
Incomer1]]-DR82)*1000&lt;0,0,(RD[[#This Row],[34 kV_F3_Im
Incomer1]]-DR82)*1000)</f>
        <v>199.99999999998863</v>
      </c>
      <c r="EJ83" s="140">
        <f>IF((RD[[#This Row],[33 kV_F4_Ex
Incomer2]]-DS82)*1000&lt;0,0,(RD[[#This Row],[33 kV_F4_Ex
Incomer2]]-DS82)*1000)</f>
        <v>107400.00000000146</v>
      </c>
      <c r="EK83" s="140">
        <f>IF((RD[[#This Row],[34 kV_F4_Im
Incomer2]]-DT82)*1000&lt;0,0,(RD[[#This Row],[34 kV_F4_Im
Incomer2]]-DT82)*1000)</f>
        <v>199.99999999998863</v>
      </c>
      <c r="EL83" s="140">
        <f>IF((RD[[#This Row],[33 kV_F5_Ex
Incomer3]]-DU82)*1000&lt;0,0,(RD[[#This Row],[33 kV_F5_Ex
Incomer3]]-DU82)*1000)</f>
        <v>122099.99999999854</v>
      </c>
      <c r="EM83" s="140">
        <f>IF((RD[[#This Row],[34 kV_F5_Im
Incomer3]]-DV82)*1000&lt;0,0,(RD[[#This Row],[34 kV_F5_Im
Incomer3]]-DV82)*1000)</f>
        <v>900.00000000003411</v>
      </c>
      <c r="EN83" s="140">
        <f>IF((RD[[#This Row],[33 kV_F6_Ex
Incomer4]]-DW82)*1000&lt;0,0,(RD[[#This Row],[33 kV_F6_Ex
Incomer4]]-DW82)*1000)</f>
        <v>15000</v>
      </c>
      <c r="EO83" s="140">
        <f t="shared" si="166"/>
        <v>400.00000000000568</v>
      </c>
      <c r="EP83" s="140">
        <f>IF((RD[[#This Row],[33 kV_F7_Ex
Incomer5]]-DY82)*1000&lt;0,0,(RD[[#This Row],[33 kV_F7_Ex
Incomer5]]-DY82)*1000)</f>
        <v>147399.99999999985</v>
      </c>
      <c r="EQ83" s="140">
        <f>IF((RD[[#This Row],[33 kV_F7_Im
Incomer5]]-DZ82)*1000&lt;0,0,(RD[[#This Row],[33 kV_F7_Im
Incomer5]]-DZ82)*1000)</f>
        <v>500</v>
      </c>
      <c r="ER83" s="140">
        <f>IF((RD[[#This Row],[33 kV_Aux Trafo]]-EA82)*1000&lt;0,0,(RD[[#This Row],[33 kV_Aux Trafo]]-EA82)*1000)</f>
        <v>230.00000000000398</v>
      </c>
      <c r="ES83" s="152">
        <f>IF((RD[[#This Row],[33kV_OG1_Ex_]]-EB82)*1&lt;0,0,(RD[[#This Row],[33kV_OG1_Ex_]]-EB82)*1)</f>
        <v>524796</v>
      </c>
      <c r="ET83" s="140">
        <f>IF((RD[[#This Row],[33kV_OG1_Im]]-EC82)*1&lt;0,0,(RD[[#This Row],[33kV_OG1_Im]]-EC82)*1)</f>
        <v>2253.311999999918</v>
      </c>
      <c r="EU83" s="140">
        <f>IF((RD[[#This Row],[132kV_TX1_EX]]-ED82)*720&lt;=0,"",(RD[[#This Row],[132kV_TX1_EX]]-ED82)*720)</f>
        <v>2160</v>
      </c>
      <c r="EV83" s="140">
        <f>IF((RD[[#This Row],[132 kV_Tx1_Im]]-EE82)*720&lt;=0,0,(RD[[#This Row],[132 kV_Tx1_Im]]-EE82)*720)</f>
        <v>375840</v>
      </c>
      <c r="EW83" s="140">
        <f>IF((RD[[#This Row],[132kV_L1_Ex]]-EF82)*720&lt;=0,0,(RD[[#This Row],[132kV_L1_Ex]]-EF82)*720)</f>
        <v>523152.00000000419</v>
      </c>
      <c r="EX83" s="140">
        <f>IF((RD[[#This Row],[132kV_L1_Im]]-EG82)*720&lt;=0,0,(RD[[#This Row],[132kV_L1_Im]]-EG82)*720)</f>
        <v>2591.9999999999345</v>
      </c>
      <c r="EY83" s="231">
        <f>IFERROR(RD[[#This Row],[33kV_OG1_Ex (MWh)]]+RD[[#This Row],[33kV_OG1_Im (MWh)]],"")</f>
        <v>527049.31199999992</v>
      </c>
      <c r="EZ83" s="142">
        <f>RD[[#This Row],[33kV_OG1_Ex (MWh)]]-RD[[#This Row],[33kV_OG1_Im (MWh)]]</f>
        <v>522542.68800000008</v>
      </c>
      <c r="FA83" s="142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32">
        <f>IFERROR((RD[[#This Row],[Sunset Time (POA&lt;20 W/m2)]]-RD[[#This Row],[Sunrise Time (POA&gt;20 W/m2)]])*24,0)</f>
        <v>12.1</v>
      </c>
      <c r="FD83" s="233">
        <v>122.7</v>
      </c>
      <c r="FE83" s="287" t="s">
        <v>297</v>
      </c>
      <c r="FG83" s="138" t="str">
        <f>IFERROR(RD[[#This Row],[E_AC (WPR)]]/RD[[#This Row],[E_DC (WPR)]],"")</f>
        <v/>
      </c>
    </row>
    <row r="84" spans="1:163">
      <c r="A84" s="130">
        <f t="shared" si="161"/>
        <v>45824</v>
      </c>
      <c r="B84" s="132">
        <f>YEAR(RD[[#This Row],[Date]])+IF(MONTH(RD[[#This Row],[Date]])&gt;=4,1,0)</f>
        <v>2026</v>
      </c>
      <c r="C84" s="132">
        <f>YEAR(RD[[#This Row],[Date]])</f>
        <v>2025</v>
      </c>
      <c r="D84" s="133">
        <f t="shared" si="165"/>
        <v>45809</v>
      </c>
      <c r="E84" s="132">
        <f>DAY(EOMONTH(RD[[#This Row],[Date]],0))</f>
        <v>30</v>
      </c>
      <c r="F84" s="146">
        <v>0.24722222222222223</v>
      </c>
      <c r="G84" s="156">
        <v>0.78472222222222221</v>
      </c>
      <c r="H84" s="121">
        <v>6264.3</v>
      </c>
      <c r="I84" s="257">
        <v>6230.5</v>
      </c>
      <c r="J84" s="121">
        <v>5935.7</v>
      </c>
      <c r="K84" s="121">
        <v>5918.3</v>
      </c>
      <c r="L84" s="121">
        <v>6084.2</v>
      </c>
      <c r="M84" s="121">
        <v>6303.5</v>
      </c>
      <c r="N84" s="121">
        <v>6117.1</v>
      </c>
      <c r="O84" s="121">
        <v>6554.9</v>
      </c>
      <c r="P84" s="121">
        <v>6156</v>
      </c>
      <c r="Q84" s="121">
        <v>5967.3</v>
      </c>
      <c r="R84" s="121">
        <v>6240.7</v>
      </c>
      <c r="S84" s="255">
        <v>6290.9</v>
      </c>
      <c r="T84" s="121">
        <v>6575</v>
      </c>
      <c r="U84" s="121">
        <v>6531.4</v>
      </c>
      <c r="V84" s="121">
        <v>6373.1</v>
      </c>
      <c r="W84" s="121">
        <v>6179.6</v>
      </c>
      <c r="X84" s="255">
        <v>8924.9</v>
      </c>
      <c r="Y84" s="192">
        <v>9869.2000000000007</v>
      </c>
      <c r="Z84" s="192">
        <v>8527.9</v>
      </c>
      <c r="AA84" s="192">
        <v>9107</v>
      </c>
      <c r="AB84" s="255">
        <v>9668.1</v>
      </c>
      <c r="AC84" s="192">
        <v>6212</v>
      </c>
      <c r="AD84" s="192">
        <v>9358.1</v>
      </c>
      <c r="AE84" s="192">
        <v>9242.4</v>
      </c>
      <c r="AF84" s="255">
        <v>9139.7999999999993</v>
      </c>
      <c r="AG84" s="192">
        <v>9172.6</v>
      </c>
      <c r="AH84" s="192">
        <v>9263.1</v>
      </c>
      <c r="AI84" s="255">
        <v>9078.2000000000007</v>
      </c>
      <c r="AJ84" s="192">
        <v>7633.4</v>
      </c>
      <c r="AK84" s="255">
        <v>7775.4</v>
      </c>
      <c r="AL84" s="192">
        <v>7606.4</v>
      </c>
      <c r="AM84" s="255">
        <v>7628.3</v>
      </c>
      <c r="AN84" s="192">
        <v>7632.3</v>
      </c>
      <c r="AO84" s="255">
        <v>7862.5</v>
      </c>
      <c r="AP84" s="192">
        <v>7773.7</v>
      </c>
      <c r="AQ84" s="255">
        <v>7676.7</v>
      </c>
      <c r="AR84" s="192">
        <v>6020.6</v>
      </c>
      <c r="AS84" s="255">
        <v>5994.1</v>
      </c>
      <c r="AT84" s="192">
        <v>6012.3</v>
      </c>
      <c r="AU84" s="255">
        <v>5980.8</v>
      </c>
      <c r="AV84" s="192">
        <v>6068.3</v>
      </c>
      <c r="AW84" s="192">
        <v>6006</v>
      </c>
      <c r="AX84" s="192">
        <v>8777</v>
      </c>
      <c r="AY84" s="192">
        <v>9591</v>
      </c>
      <c r="AZ84" s="192">
        <v>7292</v>
      </c>
      <c r="BA84" s="192">
        <v>8493.9</v>
      </c>
      <c r="BB84" s="192">
        <v>8022.2</v>
      </c>
      <c r="BC84" s="192">
        <v>7751.3</v>
      </c>
      <c r="BD84" s="192">
        <v>7938</v>
      </c>
      <c r="BE84" s="192">
        <v>8562.7999999999993</v>
      </c>
      <c r="BF84" s="192">
        <v>9127.5</v>
      </c>
      <c r="BG84" s="192">
        <v>9102.7000000000007</v>
      </c>
      <c r="BH84" s="192">
        <v>8888</v>
      </c>
      <c r="BI84" s="192">
        <v>9277.7999999999993</v>
      </c>
      <c r="BJ84" s="192">
        <v>6075.9</v>
      </c>
      <c r="BK84" s="192">
        <v>4869.2</v>
      </c>
      <c r="BL84" s="192">
        <v>5738.4</v>
      </c>
      <c r="BM84" s="192">
        <v>5685.4</v>
      </c>
      <c r="BN84" s="192">
        <v>6170.6</v>
      </c>
      <c r="BO84" s="192">
        <v>5797.1</v>
      </c>
      <c r="BP84" s="192">
        <v>6314.1</v>
      </c>
      <c r="BQ84" s="192">
        <v>6399.5</v>
      </c>
      <c r="BR84" s="192">
        <v>6889.3</v>
      </c>
      <c r="BS84" s="192">
        <v>7144.4</v>
      </c>
      <c r="BT84" s="192">
        <v>6695.6</v>
      </c>
      <c r="BU84" s="192">
        <v>7170.8</v>
      </c>
      <c r="BV84" s="192"/>
      <c r="BW84" s="192"/>
      <c r="BX84" s="192"/>
      <c r="BY84" s="192"/>
      <c r="BZ84" s="192">
        <v>906.9</v>
      </c>
      <c r="CA84" s="192">
        <v>758.7</v>
      </c>
      <c r="CB84" s="192">
        <v>3630.5</v>
      </c>
      <c r="CC84" s="192">
        <v>6041.2</v>
      </c>
      <c r="CD84" s="250">
        <v>5.8581051999999998</v>
      </c>
      <c r="CE84" s="250">
        <v>5.007673700000006</v>
      </c>
      <c r="CF84" s="250">
        <v>4.4696527999999995</v>
      </c>
      <c r="CG84" s="250">
        <v>5.1749865833333288</v>
      </c>
      <c r="CH84" s="250">
        <v>0.60221363333333311</v>
      </c>
      <c r="CI84" s="250">
        <v>0.64480575000000029</v>
      </c>
      <c r="CJ84" s="250">
        <v>0.81990478333333328</v>
      </c>
      <c r="CK84" s="250">
        <v>0.72478804999999868</v>
      </c>
      <c r="CL84" s="250">
        <v>29.729337105901458</v>
      </c>
      <c r="CM84" s="250">
        <v>28.241559485530548</v>
      </c>
      <c r="CN84" s="250">
        <v>42.334820533548942</v>
      </c>
      <c r="CO84" s="250">
        <v>39.881704983922852</v>
      </c>
      <c r="CP84" s="250">
        <v>78.556572352465622</v>
      </c>
      <c r="CQ84" s="250">
        <v>84.073553054662213</v>
      </c>
      <c r="CR84" s="250">
        <v>6.7890056588520611E-2</v>
      </c>
      <c r="CS84" s="250">
        <v>0.20257234726688103</v>
      </c>
      <c r="CT84" s="250">
        <v>1.1323654001616803</v>
      </c>
      <c r="CU84" s="250">
        <v>0.93926045016077098</v>
      </c>
      <c r="CV84" s="250">
        <v>3.5430000000000001</v>
      </c>
      <c r="CW84" s="250">
        <v>3.8610000000000002</v>
      </c>
      <c r="CX84" s="193">
        <f>IFERROR(AVERAGEIF(RD[[#This Row],[IS1POA1 (KWh/m2)]:[IS7POA2 (KWh/m2)]],"&lt;&gt;0",RD[[#This Row],[IS1POA1 (KWh/m2)]:[IS7POA2 (KWh/m2)]]),"")</f>
        <v>5.4328894500000029</v>
      </c>
      <c r="CY84" s="193">
        <f>IFERROR(AVERAGEIF(RD[[#This Row],[IS1GHI1 (KWh/m2)]:[IS7GHI2 (KWh/m2)]],"&lt;&gt;0",RD[[#This Row],[IS1GHI1 (KWh/m2)]:[IS7GHI2 (KWh/m2)]]),"")</f>
        <v>4.8223196916666637</v>
      </c>
      <c r="CZ84" s="193">
        <f>IFERROR(AVERAGEIF(RD[[#This Row],[IS1POA_BS1 (KWh/m2)]:[IS7POA_BS2 (KWh/m2)]],"&lt;&gt;0",RD[[#This Row],[IS1POA_BS1 (KWh/m2)]:[IS7POA_BS2 (KWh/m2)]]),"")</f>
        <v>0.6235096916666667</v>
      </c>
      <c r="DA84" s="193">
        <f>IFERROR(AVERAGEIF(RD[[#This Row],[IS1GHI_BS1 (KWh/m2)]:[IS1GHI_BS1 (KWh/m2)2]],"&lt;&gt;0",RD[[#This Row],[IS1GHI_BS1 (KWh/m2)]:[IS1GHI_BS1 (KWh/m2)2]]),"")</f>
        <v>0.77234641666666604</v>
      </c>
      <c r="DB84" s="193">
        <f>IFERROR(AVERAGEIF(RD[[#This Row],[IS1AT1 (°C)]:[IS7AT2 (°C)]],"&lt;&gt;0",RD[[#This Row],[IS1AT1 (°C)]:[IS7AT2 (°C)]]),"")</f>
        <v>28.985448295716004</v>
      </c>
      <c r="DC84" s="193">
        <f>IFERROR(AVERAGEIF(RD[[#This Row],[IS1MT1 (°C)]:[IS7MT2 (°C)]],"&lt;&gt;0",RD[[#This Row],[IS1MT1 (°C)]:[IS7MT2 (°C)]]),"")</f>
        <v>41.108262758735897</v>
      </c>
      <c r="DD84" s="193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193">
        <f>IFERROR(AVERAGEIF(RD[[#This Row],[WS_Solar1_Avg (m/s)]:[IS7_WS_Solar1_Avg (m/s)]],"&lt;&gt;0",RD[[#This Row],[WS_Solar1_Avg (m/s)]:[IS7_WS_Solar1_Avg (m/s)]]),"")</f>
        <v>1.0358129251612256</v>
      </c>
      <c r="DG84" s="193">
        <f>IFERROR(AVERAGEIF(RD[[#This Row],[WS_Solar1_Max (m/s)]:[IS7_WS_Solar1_Max (m/s)]],"&lt;&gt;0",RD[[#This Row],[WS_Solar1_Max (m/s)]:[IS7_WS_Solar1_Max (m/s)]]),"")</f>
        <v>3.702</v>
      </c>
      <c r="DH84" s="193">
        <f>SUM(RD[[#This Row],[IS1Inv1M1]:[IS4Inv4M2]])</f>
        <v>207285.80000000002</v>
      </c>
      <c r="DI84" s="194">
        <f>SUM(RD[[#This Row],[IS7Inv1M1]]+RD[[#This Row],[IS7Inv2M1]])</f>
        <v>12014.7</v>
      </c>
      <c r="DJ84" s="193">
        <f>SUM(RD[[#This Row],[IS5Inv1M1]:[IS5Inv2M2]])</f>
        <v>30643.499999999996</v>
      </c>
      <c r="DK84" s="193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75">
        <f>SUM(RD[[#This Row],[IS12Inv1M1]:[IS12Inv1M4]])</f>
        <v>24681.300000000003</v>
      </c>
      <c r="DO84" s="275">
        <f>SUM(RD[[#This Row],[IS13Inv1M1]:[IS13Inv2M2]])</f>
        <v>27900.100000000002</v>
      </c>
      <c r="DP84" s="193">
        <f>SUM(RD[[#This Row],[O2R15]:[O2R26]])</f>
        <v>494068.39999999997</v>
      </c>
      <c r="DQ84" s="158">
        <v>43614</v>
      </c>
      <c r="DR84" s="162">
        <v>221</v>
      </c>
      <c r="DS84" s="158">
        <v>38034.699999999997</v>
      </c>
      <c r="DT84" s="158">
        <v>233.5</v>
      </c>
      <c r="DU84" s="162">
        <v>44724.5</v>
      </c>
      <c r="DV84" s="162">
        <v>421.6</v>
      </c>
      <c r="DW84" s="158">
        <v>10344.200000000001</v>
      </c>
      <c r="DX84" s="162">
        <v>52.3</v>
      </c>
      <c r="DY84" s="162">
        <v>2249.5</v>
      </c>
      <c r="DZ84" s="162">
        <v>8.3000000000000007</v>
      </c>
      <c r="EA84" s="134">
        <v>102.94</v>
      </c>
      <c r="EB84" s="230">
        <v>142667268</v>
      </c>
      <c r="EC84" s="229">
        <v>1002321.216</v>
      </c>
      <c r="ED84" s="230">
        <v>1205</v>
      </c>
      <c r="EE84" s="230">
        <v>136898</v>
      </c>
      <c r="EF84" s="158">
        <v>197815.5</v>
      </c>
      <c r="EG84" s="158">
        <v>1946.1</v>
      </c>
      <c r="EH84" s="140">
        <f>IF((RD[[#This Row],[33 kV_F3_Ex
Incomer1]]-DQ83)*1000&lt;0,0,(RD[[#This Row],[33 kV_F3_Ex
Incomer1]]-DQ83)*1000)</f>
        <v>106900.00000000146</v>
      </c>
      <c r="EI84" s="140">
        <f>IF((RD[[#This Row],[34 kV_F3_Im
Incomer1]]-DR83)*1000&lt;0,0,(RD[[#This Row],[34 kV_F3_Im
Incomer1]]-DR83)*1000)</f>
        <v>400.00000000000568</v>
      </c>
      <c r="EJ84" s="140">
        <f>IF((RD[[#This Row],[33 kV_F4_Ex
Incomer2]]-DS83)*1000&lt;0,0,(RD[[#This Row],[33 kV_F4_Ex
Incomer2]]-DS83)*1000)</f>
        <v>96699.99999999709</v>
      </c>
      <c r="EK84" s="140">
        <f>IF((RD[[#This Row],[34 kV_F4_Im
Incomer2]]-DT83)*1000&lt;0,0,(RD[[#This Row],[34 kV_F4_Im
Incomer2]]-DT83)*1000)</f>
        <v>400.00000000000568</v>
      </c>
      <c r="EL84" s="140">
        <f>IF((RD[[#This Row],[33 kV_F5_Ex
Incomer3]]-DU83)*1000&lt;0,0,(RD[[#This Row],[33 kV_F5_Ex
Incomer3]]-DU83)*1000)</f>
        <v>130400.00000000146</v>
      </c>
      <c r="EM84" s="140">
        <f>IF((RD[[#This Row],[34 kV_F5_Im
Incomer3]]-DV83)*1000&lt;0,0,(RD[[#This Row],[34 kV_F5_Im
Incomer3]]-DV83)*1000)</f>
        <v>1300.0000000000114</v>
      </c>
      <c r="EN84" s="140">
        <f>IF((RD[[#This Row],[33 kV_F6_Ex
Incomer4]]-DW83)*1000&lt;0,0,(RD[[#This Row],[33 kV_F6_Ex
Incomer4]]-DW83)*1000)</f>
        <v>11300.000000001091</v>
      </c>
      <c r="EO84" s="140">
        <f t="shared" si="166"/>
        <v>300.00000000001137</v>
      </c>
      <c r="EP84" s="140">
        <f>IF((RD[[#This Row],[33 kV_F7_Ex
Incomer5]]-DY83)*1000&lt;0,0,(RD[[#This Row],[33 kV_F7_Ex
Incomer5]]-DY83)*1000)</f>
        <v>121400.00000000009</v>
      </c>
      <c r="EQ84" s="140">
        <f>IF((RD[[#This Row],[33 kV_F7_Im
Incomer5]]-DZ83)*1000&lt;0,0,(RD[[#This Row],[33 kV_F7_Im
Incomer5]]-DZ83)*1000)</f>
        <v>700.00000000000102</v>
      </c>
      <c r="ER84" s="140">
        <f>IF((RD[[#This Row],[33 kV_Aux Trafo]]-EA83)*1000&lt;0,0,(RD[[#This Row],[33 kV_Aux Trafo]]-EA83)*1000)</f>
        <v>259.99999999999091</v>
      </c>
      <c r="ES84" s="152">
        <f>IF((RD[[#This Row],[33kV_OG1_Ex_]]-EB83)*1&lt;0,0,(RD[[#This Row],[33kV_OG1_Ex_]]-EB83)*1)</f>
        <v>488309</v>
      </c>
      <c r="ET84" s="140">
        <f>IF((RD[[#This Row],[33kV_OG1_Im]]-EC83)*1&lt;0,0,(RD[[#This Row],[33kV_OG1_Im]]-EC83)*1)</f>
        <v>3130.048000000068</v>
      </c>
      <c r="EU84" s="140">
        <f>IF((RD[[#This Row],[132kV_TX1_EX]]-ED83)*720&lt;=0,"",(RD[[#This Row],[132kV_TX1_EX]]-ED83)*720)</f>
        <v>2880</v>
      </c>
      <c r="EV84" s="140">
        <f>IF((RD[[#This Row],[132 kV_Tx1_Im]]-EE83)*720&lt;=0,0,(RD[[#This Row],[132 kV_Tx1_Im]]-EE83)*720)</f>
        <v>350640</v>
      </c>
      <c r="EW84" s="140">
        <f>IF((RD[[#This Row],[132kV_L1_Ex]]-EF83)*720&lt;=0,0,(RD[[#This Row],[132kV_L1_Ex]]-EF83)*720)</f>
        <v>486792.00000000419</v>
      </c>
      <c r="EX84" s="140">
        <f>IF((RD[[#This Row],[132kV_L1_Im]]-EG83)*720&lt;=0,0,(RD[[#This Row],[132kV_L1_Im]]-EG83)*720)</f>
        <v>3671.9999999999345</v>
      </c>
      <c r="EY84" s="231">
        <f>IFERROR(RD[[#This Row],[33kV_OG1_Ex (MWh)]]+RD[[#This Row],[33kV_OG1_Im (MWh)]],"")</f>
        <v>491439.04800000007</v>
      </c>
      <c r="EZ84" s="142">
        <f>RD[[#This Row],[33kV_OG1_Ex (MWh)]]-RD[[#This Row],[33kV_OG1_Im (MWh)]]</f>
        <v>485178.95199999993</v>
      </c>
      <c r="FA84" s="142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32">
        <f>IFERROR((RD[[#This Row],[Sunset Time (POA&lt;20 W/m2)]]-RD[[#This Row],[Sunrise Time (POA&gt;20 W/m2)]])*24,0)</f>
        <v>12.899999999999999</v>
      </c>
      <c r="FD84" s="233">
        <v>122.7</v>
      </c>
      <c r="FE84" s="287" t="s">
        <v>300</v>
      </c>
      <c r="FG84" s="138" t="str">
        <f>IFERROR(RD[[#This Row],[E_AC (WPR)]]/RD[[#This Row],[E_DC (WPR)]],"")</f>
        <v/>
      </c>
    </row>
    <row r="85" spans="1:163">
      <c r="A85" s="130">
        <f t="shared" si="161"/>
        <v>45825</v>
      </c>
      <c r="B85" s="132">
        <f>YEAR(RD[[#This Row],[Date]])+IF(MONTH(RD[[#This Row],[Date]])&gt;=4,1,0)</f>
        <v>2026</v>
      </c>
      <c r="C85" s="132">
        <f>YEAR(RD[[#This Row],[Date]])</f>
        <v>2025</v>
      </c>
      <c r="D85" s="133">
        <f t="shared" si="165"/>
        <v>45809</v>
      </c>
      <c r="E85" s="132">
        <f>DAY(EOMONTH(RD[[#This Row],[Date]],0))</f>
        <v>30</v>
      </c>
      <c r="F85" s="146">
        <v>0.25763888888888886</v>
      </c>
      <c r="G85" s="156">
        <v>0.78402777777777777</v>
      </c>
      <c r="H85" s="121">
        <v>7829</v>
      </c>
      <c r="I85" s="257">
        <v>7899.7</v>
      </c>
      <c r="J85" s="121">
        <v>7589.5</v>
      </c>
      <c r="K85" s="121">
        <v>7418.4</v>
      </c>
      <c r="L85" s="121">
        <v>7520.1</v>
      </c>
      <c r="M85" s="121">
        <v>7726.1</v>
      </c>
      <c r="N85" s="121">
        <v>7649.7</v>
      </c>
      <c r="O85" s="121">
        <v>8123.5</v>
      </c>
      <c r="P85" s="121">
        <v>7786.6</v>
      </c>
      <c r="Q85" s="121">
        <v>7569.6</v>
      </c>
      <c r="R85" s="121">
        <v>7878.5</v>
      </c>
      <c r="S85" s="255">
        <v>7941.7</v>
      </c>
      <c r="T85" s="121">
        <v>8302.7999999999993</v>
      </c>
      <c r="U85" s="121">
        <v>8170.6</v>
      </c>
      <c r="V85" s="121">
        <v>8080.4</v>
      </c>
      <c r="W85" s="121">
        <v>7885.2</v>
      </c>
      <c r="X85" s="255">
        <v>11189.2</v>
      </c>
      <c r="Y85" s="192">
        <v>12049.6</v>
      </c>
      <c r="Z85" s="192">
        <v>10808.5</v>
      </c>
      <c r="AA85" s="192">
        <v>11624.6</v>
      </c>
      <c r="AB85" s="255">
        <v>12117.2</v>
      </c>
      <c r="AC85" s="192">
        <v>7745.3</v>
      </c>
      <c r="AD85" s="192">
        <v>11790.6</v>
      </c>
      <c r="AE85" s="192">
        <v>11595.5</v>
      </c>
      <c r="AF85" s="255">
        <v>11463.6</v>
      </c>
      <c r="AG85" s="192">
        <v>11430</v>
      </c>
      <c r="AH85" s="192">
        <v>11599.8</v>
      </c>
      <c r="AI85" s="255">
        <v>11622.2</v>
      </c>
      <c r="AJ85" s="192">
        <v>8368.6</v>
      </c>
      <c r="AK85" s="255">
        <v>8592.1</v>
      </c>
      <c r="AL85" s="192">
        <v>8402.4</v>
      </c>
      <c r="AM85" s="255">
        <v>8517.5</v>
      </c>
      <c r="AN85" s="192">
        <v>8435.1</v>
      </c>
      <c r="AO85" s="255">
        <v>8771.2000000000007</v>
      </c>
      <c r="AP85" s="192">
        <v>8623.1</v>
      </c>
      <c r="AQ85" s="255">
        <v>8563.7999999999993</v>
      </c>
      <c r="AR85" s="192">
        <v>6859.8</v>
      </c>
      <c r="AS85" s="255">
        <v>6918.6</v>
      </c>
      <c r="AT85" s="192">
        <v>6784.2</v>
      </c>
      <c r="AU85" s="255">
        <v>6779.4</v>
      </c>
      <c r="AV85" s="192">
        <v>6895</v>
      </c>
      <c r="AW85" s="192">
        <v>6896.2</v>
      </c>
      <c r="AX85" s="192">
        <v>9750.2999999999993</v>
      </c>
      <c r="AY85" s="192">
        <v>10715.1</v>
      </c>
      <c r="AZ85" s="192">
        <v>8070.5</v>
      </c>
      <c r="BA85" s="192">
        <v>9646.7999999999993</v>
      </c>
      <c r="BB85" s="192">
        <v>9044.5</v>
      </c>
      <c r="BC85" s="192">
        <v>8769.6</v>
      </c>
      <c r="BD85" s="192">
        <v>9427.6</v>
      </c>
      <c r="BE85" s="192">
        <v>10323.200000000001</v>
      </c>
      <c r="BF85" s="192">
        <v>11031.6</v>
      </c>
      <c r="BG85" s="192">
        <v>11055.6</v>
      </c>
      <c r="BH85" s="192">
        <v>10841.1</v>
      </c>
      <c r="BI85" s="192">
        <v>11208.8</v>
      </c>
      <c r="BJ85" s="192">
        <v>7584.6</v>
      </c>
      <c r="BK85" s="192">
        <v>6087.5</v>
      </c>
      <c r="BL85" s="192">
        <v>7178.9</v>
      </c>
      <c r="BM85" s="192">
        <v>6087.5</v>
      </c>
      <c r="BN85" s="192">
        <v>7686</v>
      </c>
      <c r="BO85" s="192">
        <v>7359</v>
      </c>
      <c r="BP85" s="192">
        <v>7880.3</v>
      </c>
      <c r="BQ85" s="192">
        <v>7904.9</v>
      </c>
      <c r="BR85" s="192">
        <v>8782.1</v>
      </c>
      <c r="BS85" s="192">
        <v>9057.6</v>
      </c>
      <c r="BT85" s="192">
        <v>8568.2999999999993</v>
      </c>
      <c r="BU85" s="192">
        <v>9212.5</v>
      </c>
      <c r="BV85" s="192"/>
      <c r="BW85" s="192"/>
      <c r="BX85" s="192"/>
      <c r="BY85" s="192"/>
      <c r="BZ85" s="192">
        <v>1233.9000000000001</v>
      </c>
      <c r="CA85" s="192">
        <v>1045</v>
      </c>
      <c r="CB85" s="192">
        <v>4770</v>
      </c>
      <c r="CC85" s="192">
        <v>7784.4</v>
      </c>
      <c r="CD85" s="250">
        <v>6.9962027333333277</v>
      </c>
      <c r="CE85" s="250">
        <v>5.6715885500000072</v>
      </c>
      <c r="CF85" s="250">
        <v>5.6283849500000018</v>
      </c>
      <c r="CG85" s="250">
        <v>5.8647795000000018</v>
      </c>
      <c r="CH85" s="250">
        <v>0.75191903333333265</v>
      </c>
      <c r="CI85" s="250">
        <v>0.77415861666666708</v>
      </c>
      <c r="CJ85" s="250">
        <v>1.0799913833333323</v>
      </c>
      <c r="CK85" s="250">
        <v>0.87412676666666655</v>
      </c>
      <c r="CL85" s="250">
        <v>30.48822847682122</v>
      </c>
      <c r="CM85" s="250">
        <v>30.158538587848902</v>
      </c>
      <c r="CN85" s="250">
        <v>44.885300496688764</v>
      </c>
      <c r="CO85" s="250">
        <v>41.15810016420361</v>
      </c>
      <c r="CP85" s="250">
        <v>62.429478476821309</v>
      </c>
      <c r="CQ85" s="250">
        <v>65.81847290640394</v>
      </c>
      <c r="CR85" s="250">
        <v>0</v>
      </c>
      <c r="CS85" s="250">
        <v>1.9704433497536932E-2</v>
      </c>
      <c r="CT85" s="250">
        <v>1.6341953642384108</v>
      </c>
      <c r="CU85" s="250">
        <v>1.573842364532019</v>
      </c>
      <c r="CV85" s="250">
        <v>4.6379999999999999</v>
      </c>
      <c r="CW85" s="250">
        <v>4.1189999999999998</v>
      </c>
      <c r="CX85" s="193">
        <f>IFERROR(AVERAGEIF(RD[[#This Row],[IS1POA1 (KWh/m2)]:[IS7POA2 (KWh/m2)]],"&lt;&gt;0",RD[[#This Row],[IS1POA1 (KWh/m2)]:[IS7POA2 (KWh/m2)]]),"")</f>
        <v>6.3338956416666674</v>
      </c>
      <c r="CY85" s="193">
        <f>IFERROR(AVERAGEIF(RD[[#This Row],[IS1GHI1 (KWh/m2)]:[IS7GHI2 (KWh/m2)]],"&lt;&gt;0",RD[[#This Row],[IS1GHI1 (KWh/m2)]:[IS7GHI2 (KWh/m2)]]),"")</f>
        <v>5.7465822250000018</v>
      </c>
      <c r="CZ85" s="193">
        <f>IFERROR(AVERAGEIF(RD[[#This Row],[IS1POA_BS1 (KWh/m2)]:[IS7POA_BS2 (KWh/m2)]],"&lt;&gt;0",RD[[#This Row],[IS1POA_BS1 (KWh/m2)]:[IS7POA_BS2 (KWh/m2)]]),"")</f>
        <v>0.76303882499999987</v>
      </c>
      <c r="DA85" s="193">
        <f>IFERROR(AVERAGEIF(RD[[#This Row],[IS1GHI_BS1 (KWh/m2)]:[IS1GHI_BS1 (KWh/m2)2]],"&lt;&gt;0",RD[[#This Row],[IS1GHI_BS1 (KWh/m2)]:[IS1GHI_BS1 (KWh/m2)2]]),"")</f>
        <v>0.97705907499999944</v>
      </c>
      <c r="DB85" s="193">
        <f>IFERROR(AVERAGEIF(RD[[#This Row],[IS1AT1 (°C)]:[IS7AT2 (°C)]],"&lt;&gt;0",RD[[#This Row],[IS1AT1 (°C)]:[IS7AT2 (°C)]]),"")</f>
        <v>30.323383532335061</v>
      </c>
      <c r="DC85" s="193">
        <f>IFERROR(AVERAGEIF(RD[[#This Row],[IS1MT1 (°C)]:[IS7MT2 (°C)]],"&lt;&gt;0",RD[[#This Row],[IS1MT1 (°C)]:[IS7MT2 (°C)]]),"")</f>
        <v>43.021700330446187</v>
      </c>
      <c r="DD85" s="193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193">
        <f>IFERROR(AVERAGEIF(RD[[#This Row],[WS_Solar1_Avg (m/s)]:[IS7_WS_Solar1_Avg (m/s)]],"&lt;&gt;0",RD[[#This Row],[WS_Solar1_Avg (m/s)]:[IS7_WS_Solar1_Avg (m/s)]]),"")</f>
        <v>1.6040188643852149</v>
      </c>
      <c r="DG85" s="193">
        <f>IFERROR(AVERAGEIF(RD[[#This Row],[WS_Solar1_Max (m/s)]:[IS7_WS_Solar1_Max (m/s)]],"&lt;&gt;0",RD[[#This Row],[WS_Solar1_Max (m/s)]:[IS7_WS_Solar1_Max (m/s)]]),"")</f>
        <v>4.3784999999999998</v>
      </c>
      <c r="DH85" s="193">
        <f>SUM(RD[[#This Row],[IS1Inv1M1]:[IS4Inv4M2]])</f>
        <v>260407.50000000003</v>
      </c>
      <c r="DI85" s="194">
        <f>SUM(RD[[#This Row],[IS7Inv1M1]]+RD[[#This Row],[IS7Inv2M1]])</f>
        <v>13778.400000000001</v>
      </c>
      <c r="DJ85" s="193">
        <f>SUM(RD[[#This Row],[IS5Inv1M1]:[IS5Inv2M2]])</f>
        <v>33880.6</v>
      </c>
      <c r="DK85" s="193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75">
        <f>SUM(RD[[#This Row],[IS12Inv1M1]:[IS12Inv1M4]])</f>
        <v>30830.199999999997</v>
      </c>
      <c r="DO85" s="275">
        <f>SUM(RD[[#This Row],[IS13Inv1M1]:[IS13Inv2M2]])</f>
        <v>35620.5</v>
      </c>
      <c r="DP85" s="193">
        <f>SUM(RD[[#This Row],[O2R15]:[O2R26]])</f>
        <v>597921.69999999995</v>
      </c>
      <c r="DQ85" s="158">
        <v>43748</v>
      </c>
      <c r="DR85" s="162">
        <v>221.4</v>
      </c>
      <c r="DS85" s="158">
        <v>38156</v>
      </c>
      <c r="DT85" s="158">
        <v>233.8</v>
      </c>
      <c r="DU85" s="162">
        <v>44870.3</v>
      </c>
      <c r="DV85" s="162">
        <v>422.9</v>
      </c>
      <c r="DW85" s="158">
        <v>10359</v>
      </c>
      <c r="DX85" s="162">
        <v>52.6</v>
      </c>
      <c r="DY85" s="162">
        <v>2397.9</v>
      </c>
      <c r="DZ85" s="162">
        <v>9.1</v>
      </c>
      <c r="EA85" s="134">
        <v>103.22</v>
      </c>
      <c r="EB85" s="230">
        <v>143257403</v>
      </c>
      <c r="EC85" s="229">
        <v>1005652.224</v>
      </c>
      <c r="ED85" s="230">
        <v>1209</v>
      </c>
      <c r="EE85" s="230">
        <v>137486</v>
      </c>
      <c r="EF85" s="158">
        <v>198632.4</v>
      </c>
      <c r="EG85" s="158">
        <v>1951.4</v>
      </c>
      <c r="EH85" s="140">
        <f>IF((RD[[#This Row],[33 kV_F3_Ex
Incomer1]]-DQ84)*1000&lt;0,0,(RD[[#This Row],[33 kV_F3_Ex
Incomer1]]-DQ84)*1000)</f>
        <v>134000</v>
      </c>
      <c r="EI85" s="140">
        <f>IF((RD[[#This Row],[34 kV_F3_Im
Incomer1]]-DR84)*1000&lt;0,0,(RD[[#This Row],[34 kV_F3_Im
Incomer1]]-DR84)*1000)</f>
        <v>400.00000000000568</v>
      </c>
      <c r="EJ85" s="140">
        <f>IF((RD[[#This Row],[33 kV_F4_Ex
Incomer2]]-DS84)*1000&lt;0,0,(RD[[#This Row],[33 kV_F4_Ex
Incomer2]]-DS84)*1000)</f>
        <v>121300.00000000291</v>
      </c>
      <c r="EK85" s="140">
        <f>IF((RD[[#This Row],[34 kV_F4_Im
Incomer2]]-DT84)*1000&lt;0,0,(RD[[#This Row],[34 kV_F4_Im
Incomer2]]-DT84)*1000)</f>
        <v>300.00000000001137</v>
      </c>
      <c r="EL85" s="140">
        <f>IF((RD[[#This Row],[33 kV_F5_Ex
Incomer3]]-DU84)*1000&lt;0,0,(RD[[#This Row],[33 kV_F5_Ex
Incomer3]]-DU84)*1000)</f>
        <v>145800.00000000291</v>
      </c>
      <c r="EM85" s="140">
        <f>IF((RD[[#This Row],[34 kV_F5_Im
Incomer3]]-DV84)*1000&lt;0,0,(RD[[#This Row],[34 kV_F5_Im
Incomer3]]-DV84)*1000)</f>
        <v>1299.9999999999545</v>
      </c>
      <c r="EN85" s="140">
        <f>IF((RD[[#This Row],[33 kV_F6_Ex
Incomer4]]-DW84)*1000&lt;0,0,(RD[[#This Row],[33 kV_F6_Ex
Incomer4]]-DW84)*1000)</f>
        <v>14799.999999999272</v>
      </c>
      <c r="EO85" s="140">
        <f t="shared" si="166"/>
        <v>500</v>
      </c>
      <c r="EP85" s="140">
        <f>IF((RD[[#This Row],[33 kV_F7_Ex
Incomer5]]-DY84)*1000&lt;0,0,(RD[[#This Row],[33 kV_F7_Ex
Incomer5]]-DY84)*1000)</f>
        <v>148400.00000000009</v>
      </c>
      <c r="EQ85" s="140">
        <f>IF((RD[[#This Row],[33 kV_F7_Im
Incomer5]]-DZ84)*1000&lt;0,0,(RD[[#This Row],[33 kV_F7_Im
Incomer5]]-DZ84)*1000)</f>
        <v>799.99999999999898</v>
      </c>
      <c r="ER85" s="140">
        <f>IF((RD[[#This Row],[33 kV_Aux Trafo]]-EA84)*1000&lt;0,0,(RD[[#This Row],[33 kV_Aux Trafo]]-EA84)*1000)</f>
        <v>280.00000000000114</v>
      </c>
      <c r="ES85" s="152">
        <f>IF((RD[[#This Row],[33kV_OG1_Ex_]]-EB84)*1&lt;0,0,(RD[[#This Row],[33kV_OG1_Ex_]]-EB84)*1)</f>
        <v>590135</v>
      </c>
      <c r="ET85" s="140">
        <f>IF((RD[[#This Row],[33kV_OG1_Im]]-EC84)*1&lt;0,0,(RD[[#This Row],[33kV_OG1_Im]]-EC84)*1)</f>
        <v>3331.0080000000307</v>
      </c>
      <c r="EU85" s="140">
        <f>IF((RD[[#This Row],[132kV_TX1_EX]]-ED84)*720&lt;=0,"",(RD[[#This Row],[132kV_TX1_EX]]-ED84)*720)</f>
        <v>2880</v>
      </c>
      <c r="EV85" s="140">
        <f>IF((RD[[#This Row],[132 kV_Tx1_Im]]-EE84)*720&lt;=0,0,(RD[[#This Row],[132 kV_Tx1_Im]]-EE84)*720)</f>
        <v>423360</v>
      </c>
      <c r="EW85" s="140">
        <f>IF((RD[[#This Row],[132kV_L1_Ex]]-EF84)*720&lt;=0,0,(RD[[#This Row],[132kV_L1_Ex]]-EF84)*720)</f>
        <v>588167.99999999581</v>
      </c>
      <c r="EX85" s="140">
        <f>IF((RD[[#This Row],[132kV_L1_Im]]-EG84)*720&lt;=0,0,(RD[[#This Row],[132kV_L1_Im]]-EG84)*720)</f>
        <v>3816.000000000131</v>
      </c>
      <c r="EY85" s="231">
        <f>IFERROR(RD[[#This Row],[33kV_OG1_Ex (MWh)]]+RD[[#This Row],[33kV_OG1_Im (MWh)]],"")</f>
        <v>593466.00800000003</v>
      </c>
      <c r="EZ85" s="142">
        <f>RD[[#This Row],[33kV_OG1_Ex (MWh)]]-RD[[#This Row],[33kV_OG1_Im (MWh)]]</f>
        <v>586803.99199999997</v>
      </c>
      <c r="FA85" s="142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32">
        <f>IFERROR((RD[[#This Row],[Sunset Time (POA&lt;20 W/m2)]]-RD[[#This Row],[Sunrise Time (POA&gt;20 W/m2)]])*24,0)</f>
        <v>12.633333333333333</v>
      </c>
      <c r="FD85" s="233">
        <v>122.7</v>
      </c>
      <c r="FE85" t="s">
        <v>294</v>
      </c>
      <c r="FG85" s="138" t="str">
        <f>IFERROR(RD[[#This Row],[E_AC (WPR)]]/RD[[#This Row],[E_DC (WPR)]],"")</f>
        <v/>
      </c>
    </row>
    <row r="86" spans="1:163">
      <c r="A86" s="130">
        <f t="shared" si="161"/>
        <v>45826</v>
      </c>
      <c r="B86" s="132">
        <f>YEAR(RD[[#This Row],[Date]])+IF(MONTH(RD[[#This Row],[Date]])&gt;=4,1,0)</f>
        <v>2026</v>
      </c>
      <c r="C86" s="132">
        <f>YEAR(RD[[#This Row],[Date]])</f>
        <v>2025</v>
      </c>
      <c r="D86" s="133">
        <f t="shared" si="165"/>
        <v>45809</v>
      </c>
      <c r="E86" s="132">
        <f>DAY(EOMONTH(RD[[#This Row],[Date]],0))</f>
        <v>30</v>
      </c>
      <c r="F86" s="146">
        <v>0.25416666666666665</v>
      </c>
      <c r="G86" s="156">
        <v>0.77430555555555558</v>
      </c>
      <c r="H86" s="121">
        <v>5006.2</v>
      </c>
      <c r="I86" s="257">
        <v>4981.3999999999996</v>
      </c>
      <c r="J86" s="121">
        <v>4689.8999999999996</v>
      </c>
      <c r="K86" s="121">
        <v>4720.3</v>
      </c>
      <c r="L86" s="121">
        <v>4878.1000000000004</v>
      </c>
      <c r="M86" s="121">
        <v>4995.8999999999996</v>
      </c>
      <c r="N86" s="121">
        <v>4846.8999999999996</v>
      </c>
      <c r="O86" s="121">
        <v>5341.9</v>
      </c>
      <c r="P86" s="121">
        <v>4989</v>
      </c>
      <c r="Q86" s="121">
        <v>4840.8999999999996</v>
      </c>
      <c r="R86" s="121">
        <v>5038.7</v>
      </c>
      <c r="S86" s="255">
        <v>5079.1000000000004</v>
      </c>
      <c r="T86" s="121">
        <v>5310.2</v>
      </c>
      <c r="U86" s="121">
        <v>5127.8</v>
      </c>
      <c r="V86" s="121">
        <v>5170.6000000000004</v>
      </c>
      <c r="W86" s="121">
        <v>4951.7</v>
      </c>
      <c r="X86" s="255">
        <v>7030.6</v>
      </c>
      <c r="Y86" s="192">
        <v>7920.7</v>
      </c>
      <c r="Z86" s="192">
        <v>6801.4</v>
      </c>
      <c r="AA86" s="192">
        <v>7132.1</v>
      </c>
      <c r="AB86" s="255">
        <v>7731.7</v>
      </c>
      <c r="AC86" s="192">
        <v>4722.8</v>
      </c>
      <c r="AD86" s="192">
        <v>7212</v>
      </c>
      <c r="AE86" s="192">
        <v>7349.3</v>
      </c>
      <c r="AF86" s="255">
        <v>7127.1</v>
      </c>
      <c r="AG86" s="192">
        <v>7119.5</v>
      </c>
      <c r="AH86" s="192">
        <v>7095.5</v>
      </c>
      <c r="AI86" s="255">
        <v>7153.5</v>
      </c>
      <c r="AJ86" s="192">
        <v>6012.1</v>
      </c>
      <c r="AK86" s="255">
        <v>6181</v>
      </c>
      <c r="AL86" s="192">
        <v>6063</v>
      </c>
      <c r="AM86" s="255">
        <v>6147.4</v>
      </c>
      <c r="AN86" s="192">
        <v>6029.9</v>
      </c>
      <c r="AO86" s="255">
        <v>6226</v>
      </c>
      <c r="AP86" s="192">
        <v>6094.8</v>
      </c>
      <c r="AQ86" s="255">
        <v>6055.7</v>
      </c>
      <c r="AR86" s="192">
        <v>4832.6000000000004</v>
      </c>
      <c r="AS86" s="255">
        <v>4870.8</v>
      </c>
      <c r="AT86" s="192">
        <v>4893.7</v>
      </c>
      <c r="AU86" s="255">
        <v>4897.5</v>
      </c>
      <c r="AV86" s="192">
        <v>4992.3</v>
      </c>
      <c r="AW86" s="192">
        <v>4926.3999999999996</v>
      </c>
      <c r="AX86" s="192">
        <v>6872</v>
      </c>
      <c r="AY86" s="192">
        <v>7721.2</v>
      </c>
      <c r="AZ86" s="192">
        <v>5616.4</v>
      </c>
      <c r="BA86" s="192">
        <v>6799.8</v>
      </c>
      <c r="BB86" s="192">
        <v>6695.4</v>
      </c>
      <c r="BC86" s="192">
        <v>6424.7</v>
      </c>
      <c r="BD86" s="192">
        <v>5996.9</v>
      </c>
      <c r="BE86" s="192">
        <v>6578.3</v>
      </c>
      <c r="BF86" s="192">
        <v>7152.4</v>
      </c>
      <c r="BG86" s="192">
        <v>7135.1</v>
      </c>
      <c r="BH86" s="192">
        <v>6924.8</v>
      </c>
      <c r="BI86" s="192">
        <v>7200.3</v>
      </c>
      <c r="BJ86" s="192">
        <v>4645.1000000000004</v>
      </c>
      <c r="BK86" s="192">
        <v>3687.7</v>
      </c>
      <c r="BL86" s="192">
        <v>4313.2</v>
      </c>
      <c r="BM86" s="192">
        <v>3687.7</v>
      </c>
      <c r="BN86" s="192">
        <v>4924.8</v>
      </c>
      <c r="BO86" s="192">
        <v>4589.8</v>
      </c>
      <c r="BP86" s="192">
        <v>5089.7</v>
      </c>
      <c r="BQ86" s="192">
        <v>5104.1000000000004</v>
      </c>
      <c r="BR86" s="192">
        <v>5362</v>
      </c>
      <c r="BS86" s="192">
        <v>5532.1</v>
      </c>
      <c r="BT86" s="192">
        <v>5230.7</v>
      </c>
      <c r="BU86" s="192">
        <v>5642.9</v>
      </c>
      <c r="BV86" s="192">
        <v>121</v>
      </c>
      <c r="BW86" s="192">
        <v>44</v>
      </c>
      <c r="BX86" s="192">
        <v>21</v>
      </c>
      <c r="BY86" s="192">
        <v>33</v>
      </c>
      <c r="BZ86" s="192">
        <v>690.4</v>
      </c>
      <c r="CA86" s="192">
        <v>575.5</v>
      </c>
      <c r="CB86" s="192">
        <v>2842.7</v>
      </c>
      <c r="CC86" s="192">
        <v>4742.7</v>
      </c>
      <c r="CD86" s="250">
        <v>4.1243214333333285</v>
      </c>
      <c r="CE86" s="250">
        <v>3.7579417499999987</v>
      </c>
      <c r="CF86" s="250">
        <v>3.2680838166666657</v>
      </c>
      <c r="CG86" s="250">
        <v>3.8209683166666659</v>
      </c>
      <c r="CH86" s="250">
        <v>0.44054498333333375</v>
      </c>
      <c r="CI86" s="250">
        <v>0.53942839999999992</v>
      </c>
      <c r="CJ86" s="250">
        <v>0.63137855000000009</v>
      </c>
      <c r="CK86" s="250">
        <v>0.58529831666666698</v>
      </c>
      <c r="CL86" s="250">
        <v>29.453617200674511</v>
      </c>
      <c r="CM86" s="250">
        <v>29.411989881956224</v>
      </c>
      <c r="CN86" s="250">
        <v>40.356493254637421</v>
      </c>
      <c r="CO86" s="250">
        <v>37.997263069139976</v>
      </c>
      <c r="CP86" s="250">
        <v>66.203102866779091</v>
      </c>
      <c r="CQ86" s="250">
        <v>67.96060708263073</v>
      </c>
      <c r="CR86" s="250">
        <v>4.0489038785834756E-2</v>
      </c>
      <c r="CS86" s="250">
        <v>0.11129848229342335</v>
      </c>
      <c r="CT86" s="250">
        <v>1.7751323777403052</v>
      </c>
      <c r="CU86" s="250">
        <v>1.8103912310286676</v>
      </c>
      <c r="CV86" s="250">
        <v>3.9089999999999998</v>
      </c>
      <c r="CW86" s="250">
        <v>4.1790000000000003</v>
      </c>
      <c r="CX86" s="193">
        <f>IFERROR(AVERAGEIF(RD[[#This Row],[IS1POA1 (KWh/m2)]:[IS7POA2 (KWh/m2)]],"&lt;&gt;0",RD[[#This Row],[IS1POA1 (KWh/m2)]:[IS7POA2 (KWh/m2)]]),"")</f>
        <v>3.9411315916666636</v>
      </c>
      <c r="CY86" s="193">
        <f>IFERROR(AVERAGEIF(RD[[#This Row],[IS1GHI1 (KWh/m2)]:[IS7GHI2 (KWh/m2)]],"&lt;&gt;0",RD[[#This Row],[IS1GHI1 (KWh/m2)]:[IS7GHI2 (KWh/m2)]]),"")</f>
        <v>3.5445260666666658</v>
      </c>
      <c r="CZ86" s="193">
        <f>IFERROR(AVERAGEIF(RD[[#This Row],[IS1POA_BS1 (KWh/m2)]:[IS7POA_BS2 (KWh/m2)]],"&lt;&gt;0",RD[[#This Row],[IS1POA_BS1 (KWh/m2)]:[IS7POA_BS2 (KWh/m2)]]),"")</f>
        <v>0.48998669166666686</v>
      </c>
      <c r="DA86" s="193">
        <f>IFERROR(AVERAGEIF(RD[[#This Row],[IS1GHI_BS1 (KWh/m2)]:[IS1GHI_BS1 (KWh/m2)2]],"&lt;&gt;0",RD[[#This Row],[IS1GHI_BS1 (KWh/m2)]:[IS1GHI_BS1 (KWh/m2)2]]),"")</f>
        <v>0.60833843333333348</v>
      </c>
      <c r="DB86" s="193">
        <f>IFERROR(AVERAGEIF(RD[[#This Row],[IS1AT1 (°C)]:[IS7AT2 (°C)]],"&lt;&gt;0",RD[[#This Row],[IS1AT1 (°C)]:[IS7AT2 (°C)]]),"")</f>
        <v>29.432803541315366</v>
      </c>
      <c r="DC86" s="193">
        <f>IFERROR(AVERAGEIF(RD[[#This Row],[IS1MT1 (°C)]:[IS7MT2 (°C)]],"&lt;&gt;0",RD[[#This Row],[IS1MT1 (°C)]:[IS7MT2 (°C)]]),"")</f>
        <v>39.176878161888695</v>
      </c>
      <c r="DD86" s="193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193">
        <f>IFERROR(AVERAGEIF(RD[[#This Row],[WS_Solar1_Avg (m/s)]:[IS7_WS_Solar1_Avg (m/s)]],"&lt;&gt;0",RD[[#This Row],[WS_Solar1_Avg (m/s)]:[IS7_WS_Solar1_Avg (m/s)]]),"")</f>
        <v>1.7927618043844864</v>
      </c>
      <c r="DG86" s="193">
        <f>IFERROR(AVERAGEIF(RD[[#This Row],[WS_Solar1_Max (m/s)]:[IS7_WS_Solar1_Max (m/s)]],"&lt;&gt;0",RD[[#This Row],[WS_Solar1_Max (m/s)]:[IS7_WS_Solar1_Max (m/s)]]),"")</f>
        <v>4.0440000000000005</v>
      </c>
      <c r="DH86" s="193">
        <f>SUM(RD[[#This Row],[IS1Inv1M1]:[IS4Inv4M2]])</f>
        <v>164364.80000000002</v>
      </c>
      <c r="DI86" s="194">
        <f>SUM(RD[[#This Row],[IS7Inv1M1]]+RD[[#This Row],[IS7Inv2M1]])</f>
        <v>9703.4000000000015</v>
      </c>
      <c r="DJ86" s="193">
        <f>SUM(RD[[#This Row],[IS5Inv1M1]:[IS5Inv2M2]])</f>
        <v>24403.5</v>
      </c>
      <c r="DK86" s="193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75">
        <f>SUM(RD[[#This Row],[IS12Inv1M1]:[IS12Inv1M4]])</f>
        <v>19708.400000000001</v>
      </c>
      <c r="DO86" s="275">
        <f>SUM(RD[[#This Row],[IS13Inv1M1]:[IS13Inv2M2]])</f>
        <v>21767.699999999997</v>
      </c>
      <c r="DP86" s="193">
        <f>SUM(RD[[#This Row],[O2R15]:[O2R26]])</f>
        <v>390585.4</v>
      </c>
      <c r="DQ86" s="158">
        <v>43832</v>
      </c>
      <c r="DR86" s="162">
        <v>221.8</v>
      </c>
      <c r="DS86" s="158">
        <v>38235.199999999997</v>
      </c>
      <c r="DT86" s="158">
        <v>234.1</v>
      </c>
      <c r="DU86" s="162">
        <v>44974.7</v>
      </c>
      <c r="DV86" s="162">
        <v>424.2</v>
      </c>
      <c r="DW86" s="158">
        <v>10368.200000000001</v>
      </c>
      <c r="DX86" s="162">
        <v>52.8</v>
      </c>
      <c r="DY86" s="162">
        <v>2493.5</v>
      </c>
      <c r="DZ86" s="162">
        <v>9.6</v>
      </c>
      <c r="EA86" s="134">
        <v>103.47</v>
      </c>
      <c r="EB86" s="230">
        <v>143645736</v>
      </c>
      <c r="EC86" s="229">
        <v>1008574.784</v>
      </c>
      <c r="ED86" s="230">
        <v>1212</v>
      </c>
      <c r="EE86" s="230">
        <v>137872</v>
      </c>
      <c r="EF86" s="158">
        <v>199170.1</v>
      </c>
      <c r="EG86" s="158">
        <v>1956.2</v>
      </c>
      <c r="EH86" s="140">
        <f>IF((RD[[#This Row],[33 kV_F3_Ex
Incomer1]]-DQ85)*1000&lt;0,0,(RD[[#This Row],[33 kV_F3_Ex
Incomer1]]-DQ85)*1000)</f>
        <v>84000</v>
      </c>
      <c r="EI86" s="140">
        <f>IF((RD[[#This Row],[34 kV_F3_Im
Incomer1]]-DR85)*1000&lt;0,0,(RD[[#This Row],[34 kV_F3_Im
Incomer1]]-DR85)*1000)</f>
        <v>400.00000000000568</v>
      </c>
      <c r="EJ86" s="140">
        <f>IF((RD[[#This Row],[33 kV_F4_Ex
Incomer2]]-DS85)*1000&lt;0,0,(RD[[#This Row],[33 kV_F4_Ex
Incomer2]]-DS85)*1000)</f>
        <v>79199.99999999709</v>
      </c>
      <c r="EK86" s="140">
        <f>IF((RD[[#This Row],[34 kV_F4_Im
Incomer2]]-DT85)*1000&lt;0,0,(RD[[#This Row],[34 kV_F4_Im
Incomer2]]-DT85)*1000)</f>
        <v>299.99999999998295</v>
      </c>
      <c r="EL86" s="140">
        <f>IF((RD[[#This Row],[33 kV_F5_Ex
Incomer3]]-DU85)*1000&lt;0,0,(RD[[#This Row],[33 kV_F5_Ex
Incomer3]]-DU85)*1000)</f>
        <v>104399.99999999418</v>
      </c>
      <c r="EM86" s="140">
        <f>IF((RD[[#This Row],[34 kV_F5_Im
Incomer3]]-DV85)*1000&lt;0,0,(RD[[#This Row],[34 kV_F5_Im
Incomer3]]-DV85)*1000)</f>
        <v>1300.0000000000114</v>
      </c>
      <c r="EN86" s="140">
        <f>IF((RD[[#This Row],[33 kV_F6_Ex
Incomer4]]-DW85)*1000&lt;0,0,(RD[[#This Row],[33 kV_F6_Ex
Incomer4]]-DW85)*1000)</f>
        <v>9200.0000000007276</v>
      </c>
      <c r="EO86" s="140">
        <f t="shared" si="166"/>
        <v>199.99999999998863</v>
      </c>
      <c r="EP86" s="140">
        <f>IF((RD[[#This Row],[33 kV_F7_Ex
Incomer5]]-DY85)*1000&lt;0,0,(RD[[#This Row],[33 kV_F7_Ex
Incomer5]]-DY85)*1000)</f>
        <v>95599.999999999913</v>
      </c>
      <c r="EQ86" s="140">
        <f>IF((RD[[#This Row],[33 kV_F7_Im
Incomer5]]-DZ85)*1000&lt;0,0,(RD[[#This Row],[33 kV_F7_Im
Incomer5]]-DZ85)*1000)</f>
        <v>500</v>
      </c>
      <c r="ER86" s="140">
        <f>IF((RD[[#This Row],[33 kV_Aux Trafo]]-EA85)*1000&lt;0,0,(RD[[#This Row],[33 kV_Aux Trafo]]-EA85)*1000)</f>
        <v>250</v>
      </c>
      <c r="ES86" s="152">
        <f>IF((RD[[#This Row],[33kV_OG1_Ex_]]-EB85)*1&lt;0,0,(RD[[#This Row],[33kV_OG1_Ex_]]-EB85)*1)</f>
        <v>388333</v>
      </c>
      <c r="ET86" s="140">
        <f>IF((RD[[#This Row],[33kV_OG1_Im]]-EC85)*1&lt;0,0,(RD[[#This Row],[33kV_OG1_Im]]-EC85)*1)</f>
        <v>2922.5599999999395</v>
      </c>
      <c r="EU86" s="140">
        <f>IF((RD[[#This Row],[132kV_TX1_EX]]-ED85)*720&lt;=0,"",(RD[[#This Row],[132kV_TX1_EX]]-ED85)*720)</f>
        <v>2160</v>
      </c>
      <c r="EV86" s="140">
        <f>IF((RD[[#This Row],[132 kV_Tx1_Im]]-EE85)*720&lt;=0,0,(RD[[#This Row],[132 kV_Tx1_Im]]-EE85)*720)</f>
        <v>277920</v>
      </c>
      <c r="EW86" s="140">
        <f>IF((RD[[#This Row],[132kV_L1_Ex]]-EF85)*720&lt;=0,0,(RD[[#This Row],[132kV_L1_Ex]]-EF85)*720)</f>
        <v>387144.00000000838</v>
      </c>
      <c r="EX86" s="140">
        <f>IF((RD[[#This Row],[132kV_L1_Im]]-EG85)*720&lt;=0,0,(RD[[#This Row],[132kV_L1_Im]]-EG85)*720)</f>
        <v>3455.9999999999673</v>
      </c>
      <c r="EY86" s="231">
        <f>IFERROR(RD[[#This Row],[33kV_OG1_Ex (MWh)]]+RD[[#This Row],[33kV_OG1_Im (MWh)]],"")</f>
        <v>391255.55999999994</v>
      </c>
      <c r="EZ86" s="142">
        <f>RD[[#This Row],[33kV_OG1_Ex (MWh)]]-RD[[#This Row],[33kV_OG1_Im (MWh)]]</f>
        <v>385410.44000000006</v>
      </c>
      <c r="FA86" s="142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32">
        <f>IFERROR((RD[[#This Row],[Sunset Time (POA&lt;20 W/m2)]]-RD[[#This Row],[Sunrise Time (POA&gt;20 W/m2)]])*24,0)</f>
        <v>12.483333333333334</v>
      </c>
      <c r="FD86" s="233">
        <v>122.7</v>
      </c>
      <c r="FE86" s="287" t="s">
        <v>297</v>
      </c>
      <c r="FG86" s="138" t="str">
        <f>IFERROR(RD[[#This Row],[E_AC (WPR)]]/RD[[#This Row],[E_DC (WPR)]],"")</f>
        <v/>
      </c>
    </row>
    <row r="87" spans="1:163">
      <c r="A87" s="130">
        <f t="shared" si="161"/>
        <v>45827</v>
      </c>
      <c r="B87" s="132">
        <f>YEAR(RD[[#This Row],[Date]])+IF(MONTH(RD[[#This Row],[Date]])&gt;=4,1,0)</f>
        <v>2026</v>
      </c>
      <c r="C87" s="132">
        <f>YEAR(RD[[#This Row],[Date]])</f>
        <v>2025</v>
      </c>
      <c r="D87" s="133">
        <f t="shared" si="165"/>
        <v>45809</v>
      </c>
      <c r="E87" s="132">
        <f>DAY(EOMONTH(RD[[#This Row],[Date]],0))</f>
        <v>30</v>
      </c>
      <c r="F87" s="146">
        <v>0.25277777777777777</v>
      </c>
      <c r="G87" s="156">
        <v>0.78055555555555556</v>
      </c>
      <c r="H87" s="121">
        <v>4827.5</v>
      </c>
      <c r="I87" s="257">
        <v>4762.6000000000004</v>
      </c>
      <c r="J87" s="121">
        <v>4533.6000000000004</v>
      </c>
      <c r="K87" s="121">
        <v>4592.2</v>
      </c>
      <c r="L87" s="121">
        <v>4746.8999999999996</v>
      </c>
      <c r="M87" s="121">
        <v>4863.7</v>
      </c>
      <c r="N87" s="121">
        <v>4711.8</v>
      </c>
      <c r="O87" s="121">
        <v>5092.8999999999996</v>
      </c>
      <c r="P87" s="121">
        <v>4805.1000000000004</v>
      </c>
      <c r="Q87" s="121">
        <v>4692.3</v>
      </c>
      <c r="R87" s="121">
        <v>4858.3</v>
      </c>
      <c r="S87" s="255">
        <v>4856.3</v>
      </c>
      <c r="T87" s="121">
        <v>5069.6000000000004</v>
      </c>
      <c r="U87" s="121">
        <v>4922.3999999999996</v>
      </c>
      <c r="V87" s="121">
        <v>4975.8</v>
      </c>
      <c r="W87" s="121">
        <v>4720.6000000000004</v>
      </c>
      <c r="X87" s="255">
        <v>6694.7</v>
      </c>
      <c r="Y87" s="192">
        <v>7492.2</v>
      </c>
      <c r="Z87" s="192">
        <v>6485.5</v>
      </c>
      <c r="AA87" s="192">
        <v>6818.1</v>
      </c>
      <c r="AB87" s="255">
        <v>7319.9</v>
      </c>
      <c r="AC87" s="192">
        <v>4533.2</v>
      </c>
      <c r="AD87" s="192">
        <v>6896</v>
      </c>
      <c r="AE87" s="192">
        <v>7042.5</v>
      </c>
      <c r="AF87" s="255">
        <v>6804.7</v>
      </c>
      <c r="AG87" s="192">
        <v>6779.6</v>
      </c>
      <c r="AH87" s="192">
        <v>6796.9</v>
      </c>
      <c r="AI87" s="255">
        <v>6838.5</v>
      </c>
      <c r="AJ87" s="192">
        <v>5809.9</v>
      </c>
      <c r="AK87" s="255">
        <v>5950.5</v>
      </c>
      <c r="AL87" s="192">
        <v>5836.5</v>
      </c>
      <c r="AM87" s="255">
        <v>5887.4</v>
      </c>
      <c r="AN87" s="192">
        <v>5900.8</v>
      </c>
      <c r="AO87" s="255">
        <v>6135.1</v>
      </c>
      <c r="AP87" s="192">
        <v>6058.2</v>
      </c>
      <c r="AQ87" s="255">
        <v>5986.9</v>
      </c>
      <c r="AR87" s="192">
        <v>4784.3</v>
      </c>
      <c r="AS87" s="255">
        <v>4796.3</v>
      </c>
      <c r="AT87" s="192">
        <v>4720.6000000000004</v>
      </c>
      <c r="AU87" s="255">
        <v>4686.1000000000004</v>
      </c>
      <c r="AV87" s="192">
        <v>4802.7</v>
      </c>
      <c r="AW87" s="192">
        <v>4790.3999999999996</v>
      </c>
      <c r="AX87" s="192">
        <v>6909.5</v>
      </c>
      <c r="AY87" s="192">
        <v>7768.3</v>
      </c>
      <c r="AZ87" s="192">
        <v>5749.2</v>
      </c>
      <c r="BA87" s="192">
        <v>6903.9</v>
      </c>
      <c r="BB87" s="192">
        <v>6610.5</v>
      </c>
      <c r="BC87" s="192">
        <v>6270.6</v>
      </c>
      <c r="BD87" s="192">
        <v>5893.4</v>
      </c>
      <c r="BE87" s="192">
        <v>6602.5</v>
      </c>
      <c r="BF87" s="192">
        <v>7240.8</v>
      </c>
      <c r="BG87" s="192">
        <v>7304.9</v>
      </c>
      <c r="BH87" s="192">
        <v>7204.7</v>
      </c>
      <c r="BI87" s="192">
        <v>7452.6</v>
      </c>
      <c r="BJ87" s="192">
        <v>4724.8999999999996</v>
      </c>
      <c r="BK87" s="192">
        <v>3817.9</v>
      </c>
      <c r="BL87" s="192">
        <v>4469.8</v>
      </c>
      <c r="BM87" s="192">
        <v>3817.9</v>
      </c>
      <c r="BN87" s="192">
        <v>5078</v>
      </c>
      <c r="BO87" s="192">
        <v>4761.6000000000004</v>
      </c>
      <c r="BP87" s="192">
        <v>5240.6000000000004</v>
      </c>
      <c r="BQ87" s="192">
        <v>5247.4</v>
      </c>
      <c r="BR87" s="192">
        <v>5749</v>
      </c>
      <c r="BS87" s="192">
        <v>5929.6</v>
      </c>
      <c r="BT87" s="192">
        <v>5570.8</v>
      </c>
      <c r="BU87" s="192">
        <v>6020.8</v>
      </c>
      <c r="BV87" s="192">
        <v>774</v>
      </c>
      <c r="BW87" s="192">
        <v>225</v>
      </c>
      <c r="BX87" s="192">
        <v>575</v>
      </c>
      <c r="BY87" s="192">
        <v>160</v>
      </c>
      <c r="BZ87" s="192">
        <v>762.4</v>
      </c>
      <c r="CA87" s="192">
        <v>641.5</v>
      </c>
      <c r="CB87" s="192">
        <v>3091.5</v>
      </c>
      <c r="CC87" s="192">
        <v>5096.5</v>
      </c>
      <c r="CD87" s="250">
        <v>3.9658979666666627</v>
      </c>
      <c r="CE87" s="250">
        <v>3.6993971166666646</v>
      </c>
      <c r="CF87" s="250">
        <v>3.1133417499999965</v>
      </c>
      <c r="CG87" s="250">
        <v>3.7331079999999934</v>
      </c>
      <c r="CH87" s="250">
        <v>0.41415269999999949</v>
      </c>
      <c r="CI87" s="250">
        <v>0.52956763333333345</v>
      </c>
      <c r="CJ87" s="250">
        <v>0.59487863333333368</v>
      </c>
      <c r="CK87" s="250">
        <v>0.57456168333333346</v>
      </c>
      <c r="CL87" s="250">
        <v>27.579281045751706</v>
      </c>
      <c r="CM87" s="250">
        <v>26.589804560260657</v>
      </c>
      <c r="CN87" s="250">
        <v>37.351043300653636</v>
      </c>
      <c r="CO87" s="250">
        <v>35.241377035830645</v>
      </c>
      <c r="CP87" s="250">
        <v>85.882287581699231</v>
      </c>
      <c r="CQ87" s="250">
        <v>86.065488599348527</v>
      </c>
      <c r="CR87" s="250">
        <v>0.10784313725490212</v>
      </c>
      <c r="CS87" s="250">
        <v>8.7947882736156474E-2</v>
      </c>
      <c r="CT87" s="250">
        <v>1.540825980392156</v>
      </c>
      <c r="CU87" s="250">
        <v>1.7563094462540703</v>
      </c>
      <c r="CV87" s="250">
        <v>4.5330000000000004</v>
      </c>
      <c r="CW87" s="250">
        <v>5.22</v>
      </c>
      <c r="CX87" s="193">
        <f>IFERROR(AVERAGEIF(RD[[#This Row],[IS1POA1 (KWh/m2)]:[IS7POA2 (KWh/m2)]],"&lt;&gt;0",RD[[#This Row],[IS1POA1 (KWh/m2)]:[IS7POA2 (KWh/m2)]]),"")</f>
        <v>3.8326475416666637</v>
      </c>
      <c r="CY87" s="193">
        <f>IFERROR(AVERAGEIF(RD[[#This Row],[IS1GHI1 (KWh/m2)]:[IS7GHI2 (KWh/m2)]],"&lt;&gt;0",RD[[#This Row],[IS1GHI1 (KWh/m2)]:[IS7GHI2 (KWh/m2)]]),"")</f>
        <v>3.4232248749999949</v>
      </c>
      <c r="CZ87" s="193">
        <f>IFERROR(AVERAGEIF(RD[[#This Row],[IS1POA_BS1 (KWh/m2)]:[IS7POA_BS2 (KWh/m2)]],"&lt;&gt;0",RD[[#This Row],[IS1POA_BS1 (KWh/m2)]:[IS7POA_BS2 (KWh/m2)]]),"")</f>
        <v>0.47186016666666647</v>
      </c>
      <c r="DA87" s="193">
        <f>IFERROR(AVERAGEIF(RD[[#This Row],[IS1GHI_BS1 (KWh/m2)]:[IS1GHI_BS1 (KWh/m2)2]],"&lt;&gt;0",RD[[#This Row],[IS1GHI_BS1 (KWh/m2)]:[IS1GHI_BS1 (KWh/m2)2]]),"")</f>
        <v>0.58472015833333357</v>
      </c>
      <c r="DB87" s="193">
        <f>IFERROR(AVERAGEIF(RD[[#This Row],[IS1AT1 (°C)]:[IS7AT2 (°C)]],"&lt;&gt;0",RD[[#This Row],[IS1AT1 (°C)]:[IS7AT2 (°C)]]),"")</f>
        <v>27.08454280300618</v>
      </c>
      <c r="DC87" s="193">
        <f>IFERROR(AVERAGEIF(RD[[#This Row],[IS1MT1 (°C)]:[IS7MT2 (°C)]],"&lt;&gt;0",RD[[#This Row],[IS1MT1 (°C)]:[IS7MT2 (°C)]]),"")</f>
        <v>36.296210168242141</v>
      </c>
      <c r="DD87" s="193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193">
        <f>IFERROR(AVERAGEIF(RD[[#This Row],[WS_Solar1_Avg (m/s)]:[IS7_WS_Solar1_Avg (m/s)]],"&lt;&gt;0",RD[[#This Row],[WS_Solar1_Avg (m/s)]:[IS7_WS_Solar1_Avg (m/s)]]),"")</f>
        <v>1.6485677133231131</v>
      </c>
      <c r="DG87" s="193">
        <f>IFERROR(AVERAGEIF(RD[[#This Row],[WS_Solar1_Max (m/s)]:[IS7_WS_Solar1_Max (m/s)]],"&lt;&gt;0",RD[[#This Row],[WS_Solar1_Max (m/s)]:[IS7_WS_Solar1_Max (m/s)]]),"")</f>
        <v>4.8765000000000001</v>
      </c>
      <c r="DH87" s="193">
        <f>SUM(RD[[#This Row],[IS1Inv1M1]:[IS4Inv4M2]])</f>
        <v>157533.40000000002</v>
      </c>
      <c r="DI87" s="194">
        <f>SUM(RD[[#This Row],[IS7Inv1M1]]+RD[[#This Row],[IS7Inv2M1]])</f>
        <v>9580.6</v>
      </c>
      <c r="DJ87" s="193">
        <f>SUM(RD[[#This Row],[IS5Inv1M1]:[IS5Inv2M2]])</f>
        <v>23484.300000000003</v>
      </c>
      <c r="DK87" s="193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75">
        <f>SUM(RD[[#This Row],[IS12Inv1M1]:[IS12Inv1M4]])</f>
        <v>20327.599999999999</v>
      </c>
      <c r="DO87" s="275">
        <f>SUM(RD[[#This Row],[IS13Inv1M1]:[IS13Inv2M2]])</f>
        <v>23270.2</v>
      </c>
      <c r="DP87" s="193">
        <f>SUM(RD[[#This Row],[O2R15]:[O2R26]])</f>
        <v>387344.2</v>
      </c>
      <c r="DQ87" s="158">
        <v>43912</v>
      </c>
      <c r="DR87" s="162">
        <v>222.2</v>
      </c>
      <c r="DS87" s="158">
        <v>38311.1</v>
      </c>
      <c r="DT87" s="158">
        <v>234.5</v>
      </c>
      <c r="DU87" s="162">
        <v>45077.4</v>
      </c>
      <c r="DV87" s="162">
        <v>425.6</v>
      </c>
      <c r="DW87" s="158">
        <v>10379.799999999999</v>
      </c>
      <c r="DX87" s="162">
        <v>52.9</v>
      </c>
      <c r="DY87" s="162">
        <v>2591.6</v>
      </c>
      <c r="DZ87" s="162">
        <v>10.4</v>
      </c>
      <c r="EA87" s="134">
        <v>103.72</v>
      </c>
      <c r="EB87" s="230">
        <v>144030826</v>
      </c>
      <c r="EC87" s="229">
        <v>1011936.512</v>
      </c>
      <c r="ED87" s="230">
        <v>1216</v>
      </c>
      <c r="EE87" s="230">
        <v>138256</v>
      </c>
      <c r="EF87" s="158">
        <v>199703.2</v>
      </c>
      <c r="EG87" s="158">
        <v>1961.6</v>
      </c>
      <c r="EH87" s="140">
        <f>IF((RD[[#This Row],[33 kV_F3_Ex
Incomer1]]-DQ86)*1000&lt;0,0,(RD[[#This Row],[33 kV_F3_Ex
Incomer1]]-DQ86)*1000)</f>
        <v>80000</v>
      </c>
      <c r="EI87" s="140">
        <f>IF((RD[[#This Row],[34 kV_F3_Im
Incomer1]]-DR86)*1000&lt;0,0,(RD[[#This Row],[34 kV_F3_Im
Incomer1]]-DR86)*1000)</f>
        <v>399.99999999997726</v>
      </c>
      <c r="EJ87" s="140">
        <f>IF((RD[[#This Row],[33 kV_F4_Ex
Incomer2]]-DS86)*1000&lt;0,0,(RD[[#This Row],[33 kV_F4_Ex
Incomer2]]-DS86)*1000)</f>
        <v>75900.000000001455</v>
      </c>
      <c r="EK87" s="140">
        <f>IF((RD[[#This Row],[34 kV_F4_Im
Incomer2]]-DT86)*1000&lt;0,0,(RD[[#This Row],[34 kV_F4_Im
Incomer2]]-DT86)*1000)</f>
        <v>400.00000000000568</v>
      </c>
      <c r="EL87" s="140">
        <f>IF((RD[[#This Row],[33 kV_F5_Ex
Incomer3]]-DU86)*1000&lt;0,0,(RD[[#This Row],[33 kV_F5_Ex
Incomer3]]-DU86)*1000)</f>
        <v>102700.00000000437</v>
      </c>
      <c r="EM87" s="140">
        <f>IF((RD[[#This Row],[34 kV_F5_Im
Incomer3]]-DV86)*1000&lt;0,0,(RD[[#This Row],[34 kV_F5_Im
Incomer3]]-DV86)*1000)</f>
        <v>1400.0000000000341</v>
      </c>
      <c r="EN87" s="140">
        <f>IF((RD[[#This Row],[33 kV_F6_Ex
Incomer4]]-DW86)*1000&lt;0,0,(RD[[#This Row],[33 kV_F6_Ex
Incomer4]]-DW86)*1000)</f>
        <v>11599.999999998545</v>
      </c>
      <c r="EO87" s="140">
        <f t="shared" si="166"/>
        <v>400.00000000000568</v>
      </c>
      <c r="EP87" s="140">
        <f>IF((RD[[#This Row],[33 kV_F7_Ex
Incomer5]]-DY86)*1000&lt;0,0,(RD[[#This Row],[33 kV_F7_Ex
Incomer5]]-DY86)*1000)</f>
        <v>98099.999999999913</v>
      </c>
      <c r="EQ87" s="140">
        <f>IF((RD[[#This Row],[33 kV_F7_Im
Incomer5]]-DZ86)*1000&lt;0,0,(RD[[#This Row],[33 kV_F7_Im
Incomer5]]-DZ86)*1000)</f>
        <v>800.00000000000068</v>
      </c>
      <c r="ER87" s="140">
        <f>IF((RD[[#This Row],[33 kV_Aux Trafo]]-EA86)*1000&lt;0,0,(RD[[#This Row],[33 kV_Aux Trafo]]-EA86)*1000)</f>
        <v>250</v>
      </c>
      <c r="ES87" s="152">
        <f>IF((RD[[#This Row],[33kV_OG1_Ex_]]-EB86)*1&lt;0,0,(RD[[#This Row],[33kV_OG1_Ex_]]-EB86)*1)</f>
        <v>385090</v>
      </c>
      <c r="ET87" s="140">
        <f>IF((RD[[#This Row],[33kV_OG1_Im]]-EC86)*1&lt;0,0,(RD[[#This Row],[33kV_OG1_Im]]-EC86)*1)</f>
        <v>3361.7280000000028</v>
      </c>
      <c r="EU87" s="140">
        <f>IF((RD[[#This Row],[132kV_TX1_EX]]-ED86)*720&lt;=0,"",(RD[[#This Row],[132kV_TX1_EX]]-ED86)*720)</f>
        <v>2880</v>
      </c>
      <c r="EV87" s="140">
        <f>IF((RD[[#This Row],[132 kV_Tx1_Im]]-EE86)*720&lt;=0,0,(RD[[#This Row],[132 kV_Tx1_Im]]-EE86)*720)</f>
        <v>276480</v>
      </c>
      <c r="EW87" s="140">
        <f>IF((RD[[#This Row],[132kV_L1_Ex]]-EF86)*720&lt;=0,0,(RD[[#This Row],[132kV_L1_Ex]]-EF86)*720)</f>
        <v>383832.00000000419</v>
      </c>
      <c r="EX87" s="140">
        <f>IF((RD[[#This Row],[132kV_L1_Im]]-EG86)*720&lt;=0,0,(RD[[#This Row],[132kV_L1_Im]]-EG86)*720)</f>
        <v>3887.9999999999018</v>
      </c>
      <c r="EY87" s="231">
        <f>IFERROR(RD[[#This Row],[33kV_OG1_Ex (MWh)]]+RD[[#This Row],[33kV_OG1_Im (MWh)]],"")</f>
        <v>388451.728</v>
      </c>
      <c r="EZ87" s="142">
        <f>RD[[#This Row],[33kV_OG1_Ex (MWh)]]-RD[[#This Row],[33kV_OG1_Im (MWh)]]</f>
        <v>381728.272</v>
      </c>
      <c r="FA87" s="142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32">
        <f>IFERROR((RD[[#This Row],[Sunset Time (POA&lt;20 W/m2)]]-RD[[#This Row],[Sunrise Time (POA&gt;20 W/m2)]])*24,0)</f>
        <v>12.666666666666668</v>
      </c>
      <c r="FD87" s="233">
        <v>122.7</v>
      </c>
      <c r="FE87" s="287" t="s">
        <v>300</v>
      </c>
      <c r="FG87" s="138" t="str">
        <f>IFERROR(RD[[#This Row],[E_AC (WPR)]]/RD[[#This Row],[E_DC (WPR)]],"")</f>
        <v/>
      </c>
    </row>
    <row r="88" spans="1:163">
      <c r="A88" s="130">
        <f t="shared" si="161"/>
        <v>45828</v>
      </c>
      <c r="B88" s="132">
        <f>YEAR(RD[[#This Row],[Date]])+IF(MONTH(RD[[#This Row],[Date]])&gt;=4,1,0)</f>
        <v>2026</v>
      </c>
      <c r="C88" s="132">
        <f>YEAR(RD[[#This Row],[Date]])</f>
        <v>2025</v>
      </c>
      <c r="D88" s="133">
        <f t="shared" si="165"/>
        <v>45809</v>
      </c>
      <c r="E88" s="132">
        <f>DAY(EOMONTH(RD[[#This Row],[Date]],0))</f>
        <v>30</v>
      </c>
      <c r="F88" s="146">
        <v>0.25347222222222221</v>
      </c>
      <c r="G88" s="156">
        <v>0.78125</v>
      </c>
      <c r="H88" s="121">
        <v>8059</v>
      </c>
      <c r="I88" s="257">
        <v>8051.9</v>
      </c>
      <c r="J88" s="121">
        <v>7670.5</v>
      </c>
      <c r="K88" s="121">
        <v>7607.4</v>
      </c>
      <c r="L88" s="121">
        <v>7799.8</v>
      </c>
      <c r="M88" s="121">
        <v>7995.5</v>
      </c>
      <c r="N88" s="121">
        <v>7826.6</v>
      </c>
      <c r="O88" s="121">
        <v>8444.9</v>
      </c>
      <c r="P88" s="121">
        <v>7916.2</v>
      </c>
      <c r="Q88" s="121">
        <v>7707.8</v>
      </c>
      <c r="R88" s="121">
        <v>7950.7</v>
      </c>
      <c r="S88" s="255">
        <v>7975.5</v>
      </c>
      <c r="T88" s="121">
        <v>8392.1</v>
      </c>
      <c r="U88" s="121">
        <v>8070</v>
      </c>
      <c r="V88" s="121">
        <v>8187.6</v>
      </c>
      <c r="W88" s="121">
        <v>7934.3</v>
      </c>
      <c r="X88" s="255">
        <v>11059.1</v>
      </c>
      <c r="Y88" s="192">
        <v>12003.8</v>
      </c>
      <c r="Z88" s="192">
        <v>10829.8</v>
      </c>
      <c r="AA88" s="192">
        <v>11523.8</v>
      </c>
      <c r="AB88" s="255">
        <v>11716.2</v>
      </c>
      <c r="AC88" s="192">
        <v>7326</v>
      </c>
      <c r="AD88" s="192">
        <v>11286.2</v>
      </c>
      <c r="AE88" s="192">
        <v>11451.9</v>
      </c>
      <c r="AF88" s="255">
        <v>11065.6</v>
      </c>
      <c r="AG88" s="192">
        <v>11066.8</v>
      </c>
      <c r="AH88" s="192">
        <v>11183.4</v>
      </c>
      <c r="AI88" s="255">
        <v>11193.2</v>
      </c>
      <c r="AJ88" s="192">
        <v>9500.2000000000007</v>
      </c>
      <c r="AK88" s="255">
        <v>9764.5</v>
      </c>
      <c r="AL88" s="192">
        <v>9583.6</v>
      </c>
      <c r="AM88" s="255">
        <v>9675</v>
      </c>
      <c r="AN88" s="192">
        <v>9663.4</v>
      </c>
      <c r="AO88" s="255">
        <v>10025.6</v>
      </c>
      <c r="AP88" s="192">
        <v>9864.2000000000007</v>
      </c>
      <c r="AQ88" s="255">
        <v>9750.2999999999993</v>
      </c>
      <c r="AR88" s="192">
        <v>7874.4</v>
      </c>
      <c r="AS88" s="255">
        <v>7907</v>
      </c>
      <c r="AT88" s="192">
        <v>7801.4</v>
      </c>
      <c r="AU88" s="255">
        <v>7768.4</v>
      </c>
      <c r="AV88" s="192">
        <v>7922.1</v>
      </c>
      <c r="AW88" s="192">
        <v>7901.9</v>
      </c>
      <c r="AX88" s="192">
        <v>11256.2</v>
      </c>
      <c r="AY88" s="192">
        <v>12409.9</v>
      </c>
      <c r="AZ88" s="192">
        <v>9301.6</v>
      </c>
      <c r="BA88" s="192">
        <v>11185.3</v>
      </c>
      <c r="BB88" s="192">
        <v>9545.7999999999993</v>
      </c>
      <c r="BC88" s="192">
        <v>9245.6</v>
      </c>
      <c r="BD88" s="192">
        <v>9615.1</v>
      </c>
      <c r="BE88" s="192">
        <v>10825.7</v>
      </c>
      <c r="BF88" s="192">
        <v>11575.8</v>
      </c>
      <c r="BG88" s="192">
        <v>11567.2</v>
      </c>
      <c r="BH88" s="192">
        <v>11429.3</v>
      </c>
      <c r="BI88" s="192">
        <v>11778.9</v>
      </c>
      <c r="BJ88" s="192">
        <v>7668.8</v>
      </c>
      <c r="BK88" s="192">
        <v>6204.5</v>
      </c>
      <c r="BL88" s="192">
        <v>7244.7</v>
      </c>
      <c r="BM88" s="192">
        <v>6204.5</v>
      </c>
      <c r="BN88" s="192">
        <v>8099</v>
      </c>
      <c r="BO88" s="192">
        <v>7679.7</v>
      </c>
      <c r="BP88" s="192">
        <v>8283.2000000000007</v>
      </c>
      <c r="BQ88" s="192">
        <v>8321.4</v>
      </c>
      <c r="BR88" s="192">
        <v>8946.4</v>
      </c>
      <c r="BS88" s="192">
        <v>9240.6</v>
      </c>
      <c r="BT88" s="192">
        <v>8740.7000000000007</v>
      </c>
      <c r="BU88" s="192">
        <v>9424.1</v>
      </c>
      <c r="BV88" s="192">
        <v>2296.1</v>
      </c>
      <c r="BW88" s="192">
        <v>721.4</v>
      </c>
      <c r="BX88" s="192">
        <v>2818.1</v>
      </c>
      <c r="BY88" s="192">
        <v>533.5</v>
      </c>
      <c r="BZ88" s="192">
        <v>1243.7</v>
      </c>
      <c r="CA88" s="192">
        <v>1057.5999999999999</v>
      </c>
      <c r="CB88" s="192">
        <v>4840</v>
      </c>
      <c r="CC88" s="192">
        <v>7969.8</v>
      </c>
      <c r="CD88" s="250">
        <v>6.9303976333333326</v>
      </c>
      <c r="CE88" s="250">
        <v>6.3046559833333298</v>
      </c>
      <c r="CF88" s="250">
        <v>5.5873255666666619</v>
      </c>
      <c r="CG88" s="250">
        <v>6.595676233333335</v>
      </c>
      <c r="CH88" s="250">
        <v>0.74047491666666732</v>
      </c>
      <c r="CI88" s="250">
        <v>0.95030330000000185</v>
      </c>
      <c r="CJ88" s="250">
        <v>1.0686243499999997</v>
      </c>
      <c r="CK88" s="250">
        <v>1.0345923999999997</v>
      </c>
      <c r="CL88" s="250">
        <v>29.595369458128022</v>
      </c>
      <c r="CM88" s="250">
        <v>29.607241379310349</v>
      </c>
      <c r="CN88" s="250">
        <v>42.493119047619047</v>
      </c>
      <c r="CO88" s="250">
        <v>40.01626190476189</v>
      </c>
      <c r="CP88" s="250">
        <v>68.334031198686361</v>
      </c>
      <c r="CQ88" s="250">
        <v>69.736912972085236</v>
      </c>
      <c r="CR88" s="250">
        <v>0</v>
      </c>
      <c r="CS88" s="250">
        <v>0</v>
      </c>
      <c r="CT88" s="250">
        <v>2.0351059113300498</v>
      </c>
      <c r="CU88" s="250">
        <v>2.0630197044334984</v>
      </c>
      <c r="CV88" s="250">
        <v>4.5750000000000002</v>
      </c>
      <c r="CW88" s="250">
        <v>4.7939999999999996</v>
      </c>
      <c r="CX88" s="193">
        <f>IFERROR(AVERAGEIF(RD[[#This Row],[IS1POA1 (KWh/m2)]:[IS7POA2 (KWh/m2)]],"&lt;&gt;0",RD[[#This Row],[IS1POA1 (KWh/m2)]:[IS7POA2 (KWh/m2)]]),"")</f>
        <v>6.6175268083333307</v>
      </c>
      <c r="CY88" s="193">
        <f>IFERROR(AVERAGEIF(RD[[#This Row],[IS1GHI1 (KWh/m2)]:[IS7GHI2 (KWh/m2)]],"&lt;&gt;0",RD[[#This Row],[IS1GHI1 (KWh/m2)]:[IS7GHI2 (KWh/m2)]]),"")</f>
        <v>6.091500899999998</v>
      </c>
      <c r="CZ88" s="193">
        <f>IFERROR(AVERAGEIF(RD[[#This Row],[IS1POA_BS1 (KWh/m2)]:[IS7POA_BS2 (KWh/m2)]],"&lt;&gt;0",RD[[#This Row],[IS1POA_BS1 (KWh/m2)]:[IS7POA_BS2 (KWh/m2)]]),"")</f>
        <v>0.84538910833333458</v>
      </c>
      <c r="DA88" s="193">
        <f>IFERROR(AVERAGEIF(RD[[#This Row],[IS1GHI_BS1 (KWh/m2)]:[IS1GHI_BS1 (KWh/m2)2]],"&lt;&gt;0",RD[[#This Row],[IS1GHI_BS1 (KWh/m2)]:[IS1GHI_BS1 (KWh/m2)2]]),"")</f>
        <v>1.0516083749999998</v>
      </c>
      <c r="DB88" s="193">
        <f>IFERROR(AVERAGEIF(RD[[#This Row],[IS1AT1 (°C)]:[IS7AT2 (°C)]],"&lt;&gt;0",RD[[#This Row],[IS1AT1 (°C)]:[IS7AT2 (°C)]]),"")</f>
        <v>29.601305418719186</v>
      </c>
      <c r="DC88" s="193">
        <f>IFERROR(AVERAGEIF(RD[[#This Row],[IS1MT1 (°C)]:[IS7MT2 (°C)]],"&lt;&gt;0",RD[[#This Row],[IS1MT1 (°C)]:[IS7MT2 (°C)]]),"")</f>
        <v>41.254690476190468</v>
      </c>
      <c r="DD88" s="193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193">
        <f>IFERROR(AVERAGEIF(RD[[#This Row],[WS_Solar1_Avg (m/s)]:[IS7_WS_Solar1_Avg (m/s)]],"&lt;&gt;0",RD[[#This Row],[WS_Solar1_Avg (m/s)]:[IS7_WS_Solar1_Avg (m/s)]]),"")</f>
        <v>2.0490628078817741</v>
      </c>
      <c r="DG88" s="193">
        <f>IFERROR(AVERAGEIF(RD[[#This Row],[WS_Solar1_Max (m/s)]:[IS7_WS_Solar1_Max (m/s)]],"&lt;&gt;0",RD[[#This Row],[WS_Solar1_Max (m/s)]:[IS7_WS_Solar1_Max (m/s)]]),"")</f>
        <v>4.6844999999999999</v>
      </c>
      <c r="DH88" s="193">
        <f>SUM(RD[[#This Row],[IS1Inv1M1]:[IS4Inv4M2]])</f>
        <v>259295.6</v>
      </c>
      <c r="DI88" s="194">
        <f>SUM(RD[[#This Row],[IS7Inv1M1]]+RD[[#This Row],[IS7Inv2M1]])</f>
        <v>15781.4</v>
      </c>
      <c r="DJ88" s="193">
        <f>SUM(RD[[#This Row],[IS5Inv1M1]:[IS5Inv2M2]])</f>
        <v>38523.300000000003</v>
      </c>
      <c r="DK88" s="193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75">
        <f>SUM(RD[[#This Row],[IS12Inv1M1]:[IS12Inv1M4]])</f>
        <v>32383.300000000003</v>
      </c>
      <c r="DO88" s="275">
        <f>SUM(RD[[#This Row],[IS13Inv1M1]:[IS13Inv2M2]])</f>
        <v>36351.800000000003</v>
      </c>
      <c r="DP88" s="193">
        <f>SUM(RD[[#This Row],[O2R15]:[O2R26]])</f>
        <v>631571.80000000005</v>
      </c>
      <c r="DQ88" s="158">
        <v>44042.8</v>
      </c>
      <c r="DR88" s="162">
        <v>222.6</v>
      </c>
      <c r="DS88" s="158">
        <v>38435</v>
      </c>
      <c r="DT88" s="158">
        <v>234.8</v>
      </c>
      <c r="DU88" s="162">
        <v>45244.3</v>
      </c>
      <c r="DV88" s="162">
        <v>426.8</v>
      </c>
      <c r="DW88" s="158">
        <v>10401.4</v>
      </c>
      <c r="DX88" s="162">
        <v>53.1</v>
      </c>
      <c r="DY88" s="162">
        <v>2745.6</v>
      </c>
      <c r="DZ88" s="162">
        <v>11.1</v>
      </c>
      <c r="EA88" s="134">
        <v>103.99</v>
      </c>
      <c r="EB88" s="230">
        <v>144654450</v>
      </c>
      <c r="EC88" s="229">
        <v>1015023.872</v>
      </c>
      <c r="ED88" s="230">
        <v>1220</v>
      </c>
      <c r="EE88" s="230">
        <v>138877</v>
      </c>
      <c r="EF88" s="158">
        <v>200566.39999999999</v>
      </c>
      <c r="EG88" s="158">
        <v>1966.5</v>
      </c>
      <c r="EH88" s="140">
        <f>IF((RD[[#This Row],[33 kV_F3_Ex
Incomer1]]-DQ87)*1000&lt;0,0,(RD[[#This Row],[33 kV_F3_Ex
Incomer1]]-DQ87)*1000)</f>
        <v>130800.00000000291</v>
      </c>
      <c r="EI88" s="140">
        <f>IF((RD[[#This Row],[34 kV_F3_Im
Incomer1]]-DR87)*1000&lt;0,0,(RD[[#This Row],[34 kV_F3_Im
Incomer1]]-DR87)*1000)</f>
        <v>400.00000000000568</v>
      </c>
      <c r="EJ88" s="140">
        <f>IF((RD[[#This Row],[33 kV_F4_Ex
Incomer2]]-DS87)*1000&lt;0,0,(RD[[#This Row],[33 kV_F4_Ex
Incomer2]]-DS87)*1000)</f>
        <v>123900.00000000146</v>
      </c>
      <c r="EK88" s="140">
        <f>IF((RD[[#This Row],[34 kV_F4_Im
Incomer2]]-DT87)*1000&lt;0,0,(RD[[#This Row],[34 kV_F4_Im
Incomer2]]-DT87)*1000)</f>
        <v>300.00000000001137</v>
      </c>
      <c r="EL88" s="140">
        <f>IF((RD[[#This Row],[33 kV_F5_Ex
Incomer3]]-DU87)*1000&lt;0,0,(RD[[#This Row],[33 kV_F5_Ex
Incomer3]]-DU87)*1000)</f>
        <v>166900.00000000146</v>
      </c>
      <c r="EM88" s="140">
        <f>IF((RD[[#This Row],[34 kV_F5_Im
Incomer3]]-DV87)*1000&lt;0,0,(RD[[#This Row],[34 kV_F5_Im
Incomer3]]-DV87)*1000)</f>
        <v>1199.9999999999886</v>
      </c>
      <c r="EN88" s="140">
        <f>IF((RD[[#This Row],[33 kV_F6_Ex
Incomer4]]-DW87)*1000&lt;0,0,(RD[[#This Row],[33 kV_F6_Ex
Incomer4]]-DW87)*1000)</f>
        <v>21600.000000000364</v>
      </c>
      <c r="EO88" s="140">
        <f t="shared" si="166"/>
        <v>300.00000000001137</v>
      </c>
      <c r="EP88" s="140">
        <f>IF((RD[[#This Row],[33 kV_F7_Ex
Incomer5]]-DY87)*1000&lt;0,0,(RD[[#This Row],[33 kV_F7_Ex
Incomer5]]-DY87)*1000)</f>
        <v>154000</v>
      </c>
      <c r="EQ88" s="140">
        <f>IF((RD[[#This Row],[33 kV_F7_Im
Incomer5]]-DZ87)*1000&lt;0,0,(RD[[#This Row],[33 kV_F7_Im
Incomer5]]-DZ87)*1000)</f>
        <v>699.99999999999932</v>
      </c>
      <c r="ER88" s="140">
        <f>IF((RD[[#This Row],[33 kV_Aux Trafo]]-EA87)*1000&lt;0,0,(RD[[#This Row],[33 kV_Aux Trafo]]-EA87)*1000)</f>
        <v>269.99999999999602</v>
      </c>
      <c r="ES88" s="152">
        <f>IF((RD[[#This Row],[33kV_OG1_Ex_]]-EB87)*1&lt;0,0,(RD[[#This Row],[33kV_OG1_Ex_]]-EB87)*1)</f>
        <v>623624</v>
      </c>
      <c r="ET88" s="140">
        <f>IF((RD[[#This Row],[33kV_OG1_Im]]-EC87)*1&lt;0,0,(RD[[#This Row],[33kV_OG1_Im]]-EC87)*1)</f>
        <v>3087.359999999986</v>
      </c>
      <c r="EU88" s="140">
        <f>IF((RD[[#This Row],[132kV_TX1_EX]]-ED87)*720&lt;=0,"",(RD[[#This Row],[132kV_TX1_EX]]-ED87)*720)</f>
        <v>2880</v>
      </c>
      <c r="EV88" s="140">
        <f>IF((RD[[#This Row],[132 kV_Tx1_Im]]-EE87)*720&lt;=0,0,(RD[[#This Row],[132 kV_Tx1_Im]]-EE87)*720)</f>
        <v>447120</v>
      </c>
      <c r="EW88" s="140">
        <f>IF((RD[[#This Row],[132kV_L1_Ex]]-EF87)*720&lt;=0,0,(RD[[#This Row],[132kV_L1_Ex]]-EF87)*720)</f>
        <v>621503.99999998743</v>
      </c>
      <c r="EX88" s="140">
        <f>IF((RD[[#This Row],[132kV_L1_Im]]-EG87)*720&lt;=0,0,(RD[[#This Row],[132kV_L1_Im]]-EG87)*720)</f>
        <v>3528.0000000000655</v>
      </c>
      <c r="EY88" s="231">
        <f>IFERROR(RD[[#This Row],[33kV_OG1_Ex (MWh)]]+RD[[#This Row],[33kV_OG1_Im (MWh)]],"")</f>
        <v>626711.36</v>
      </c>
      <c r="EZ88" s="142">
        <f>RD[[#This Row],[33kV_OG1_Ex (MWh)]]-RD[[#This Row],[33kV_OG1_Im (MWh)]]</f>
        <v>620536.64</v>
      </c>
      <c r="FA88" s="142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32">
        <f>IFERROR((RD[[#This Row],[Sunset Time (POA&lt;20 W/m2)]]-RD[[#This Row],[Sunrise Time (POA&gt;20 W/m2)]])*24,0)</f>
        <v>12.666666666666668</v>
      </c>
      <c r="FD88" s="233">
        <v>122.7</v>
      </c>
      <c r="FE88" t="s">
        <v>294</v>
      </c>
      <c r="FG88" s="138" t="str">
        <f>IFERROR(RD[[#This Row],[E_AC (WPR)]]/RD[[#This Row],[E_DC (WPR)]],"")</f>
        <v/>
      </c>
    </row>
    <row r="89" spans="1:163">
      <c r="A89" s="130">
        <f t="shared" si="161"/>
        <v>45829</v>
      </c>
      <c r="B89" s="132">
        <f>YEAR(RD[[#This Row],[Date]])+IF(MONTH(RD[[#This Row],[Date]])&gt;=4,1,0)</f>
        <v>2026</v>
      </c>
      <c r="C89" s="132">
        <f>YEAR(RD[[#This Row],[Date]])</f>
        <v>2025</v>
      </c>
      <c r="D89" s="133">
        <f t="shared" si="165"/>
        <v>45809</v>
      </c>
      <c r="E89" s="132">
        <f>DAY(EOMONTH(RD[[#This Row],[Date]],0))</f>
        <v>30</v>
      </c>
      <c r="F89" s="146">
        <v>0.25277777777777777</v>
      </c>
      <c r="G89" s="156">
        <v>0.77361111111111114</v>
      </c>
      <c r="H89" s="121">
        <v>6687.6</v>
      </c>
      <c r="I89" s="257">
        <v>6588.7</v>
      </c>
      <c r="J89" s="121">
        <v>6248.8</v>
      </c>
      <c r="K89" s="121">
        <v>6370.8</v>
      </c>
      <c r="L89" s="121">
        <v>6591.2</v>
      </c>
      <c r="M89" s="121">
        <v>6770</v>
      </c>
      <c r="N89" s="121">
        <v>6529.9</v>
      </c>
      <c r="O89" s="121">
        <v>7160</v>
      </c>
      <c r="P89" s="121">
        <v>6619.2</v>
      </c>
      <c r="Q89" s="121">
        <v>6530.1</v>
      </c>
      <c r="R89" s="121">
        <v>6764.1</v>
      </c>
      <c r="S89" s="255">
        <v>6743.4</v>
      </c>
      <c r="T89" s="121">
        <v>7022.2</v>
      </c>
      <c r="U89" s="121">
        <v>6828</v>
      </c>
      <c r="V89" s="121">
        <v>6904.8</v>
      </c>
      <c r="W89" s="121">
        <v>6568.6</v>
      </c>
      <c r="X89" s="255">
        <v>9260.7000000000007</v>
      </c>
      <c r="Y89" s="192">
        <v>10329.299999999999</v>
      </c>
      <c r="Z89" s="192">
        <v>8953</v>
      </c>
      <c r="AA89" s="192">
        <v>9394.2000000000007</v>
      </c>
      <c r="AB89" s="255">
        <v>9922</v>
      </c>
      <c r="AC89" s="192">
        <v>6214.5</v>
      </c>
      <c r="AD89" s="192">
        <v>9519.9</v>
      </c>
      <c r="AE89" s="192">
        <v>9676.7000000000007</v>
      </c>
      <c r="AF89" s="255">
        <v>9350.7000000000007</v>
      </c>
      <c r="AG89" s="192">
        <v>9298.9</v>
      </c>
      <c r="AH89" s="192">
        <v>9378.1</v>
      </c>
      <c r="AI89" s="255">
        <v>9425.6</v>
      </c>
      <c r="AJ89" s="192">
        <v>7929.7</v>
      </c>
      <c r="AK89" s="255">
        <v>8155</v>
      </c>
      <c r="AL89" s="192">
        <v>7976.3</v>
      </c>
      <c r="AM89" s="255">
        <v>8093.3</v>
      </c>
      <c r="AN89" s="192">
        <v>7980.2</v>
      </c>
      <c r="AO89" s="255">
        <v>8247.1</v>
      </c>
      <c r="AP89" s="192">
        <v>8107.1</v>
      </c>
      <c r="AQ89" s="255">
        <v>8041.6</v>
      </c>
      <c r="AR89" s="192">
        <v>6475.4</v>
      </c>
      <c r="AS89" s="255">
        <v>6510.6</v>
      </c>
      <c r="AT89" s="192">
        <v>6463.1</v>
      </c>
      <c r="AU89" s="255">
        <v>6461.5</v>
      </c>
      <c r="AV89" s="192">
        <v>6588.3</v>
      </c>
      <c r="AW89" s="192">
        <v>6544</v>
      </c>
      <c r="AX89" s="192">
        <v>9204.2999999999993</v>
      </c>
      <c r="AY89" s="192">
        <v>10268.299999999999</v>
      </c>
      <c r="AZ89" s="192">
        <v>7498</v>
      </c>
      <c r="BA89" s="192">
        <v>9043.2000000000007</v>
      </c>
      <c r="BB89" s="192">
        <v>8706.2999999999993</v>
      </c>
      <c r="BC89" s="192">
        <v>8391.2000000000007</v>
      </c>
      <c r="BD89" s="192">
        <v>8102.6</v>
      </c>
      <c r="BE89" s="192">
        <v>8905.7999999999993</v>
      </c>
      <c r="BF89" s="192">
        <v>9657</v>
      </c>
      <c r="BG89" s="192">
        <v>9677.7000000000007</v>
      </c>
      <c r="BH89" s="192">
        <v>9543.6</v>
      </c>
      <c r="BI89" s="192">
        <v>9908.2999999999993</v>
      </c>
      <c r="BJ89" s="192">
        <v>6426.6</v>
      </c>
      <c r="BK89" s="192">
        <v>5141.2</v>
      </c>
      <c r="BL89" s="192">
        <v>6035.3</v>
      </c>
      <c r="BM89" s="192">
        <v>6211</v>
      </c>
      <c r="BN89" s="192">
        <v>6897</v>
      </c>
      <c r="BO89" s="192">
        <v>6459.6</v>
      </c>
      <c r="BP89" s="192">
        <v>7141.9</v>
      </c>
      <c r="BQ89" s="192">
        <v>7139</v>
      </c>
      <c r="BR89" s="192">
        <v>7531.4</v>
      </c>
      <c r="BS89" s="192">
        <v>7751</v>
      </c>
      <c r="BT89" s="192">
        <v>7367.4</v>
      </c>
      <c r="BU89" s="192">
        <v>7939.7</v>
      </c>
      <c r="BV89" s="192">
        <v>2484.5</v>
      </c>
      <c r="BW89" s="192">
        <v>602</v>
      </c>
      <c r="BX89" s="192">
        <v>2337</v>
      </c>
      <c r="BY89" s="192">
        <v>757</v>
      </c>
      <c r="BZ89" s="192">
        <v>1042.5</v>
      </c>
      <c r="CA89" s="192">
        <v>880.1</v>
      </c>
      <c r="CB89" s="192">
        <v>4075</v>
      </c>
      <c r="CC89" s="192">
        <v>6724.5</v>
      </c>
      <c r="CD89" s="250">
        <v>5.6239499333333347</v>
      </c>
      <c r="CE89" s="250">
        <v>5.0946365500000015</v>
      </c>
      <c r="CF89" s="250">
        <v>4.4673651166666684</v>
      </c>
      <c r="CG89" s="250">
        <v>5.239296966666668</v>
      </c>
      <c r="CH89" s="250">
        <v>0.60994151666666774</v>
      </c>
      <c r="CI89" s="250">
        <v>0.75791465000000025</v>
      </c>
      <c r="CJ89" s="250">
        <v>0.85265575000000038</v>
      </c>
      <c r="CK89" s="250">
        <v>0.83215006666666769</v>
      </c>
      <c r="CL89" s="250">
        <v>29.224699759807756</v>
      </c>
      <c r="CM89" s="250">
        <v>29.146885508406729</v>
      </c>
      <c r="CN89" s="250">
        <v>41.298607686148976</v>
      </c>
      <c r="CO89" s="250">
        <v>38.585703763010422</v>
      </c>
      <c r="CP89" s="250">
        <v>68.485756605284223</v>
      </c>
      <c r="CQ89" s="250">
        <v>70.300640512409913</v>
      </c>
      <c r="CR89" s="250">
        <v>0</v>
      </c>
      <c r="CS89" s="250">
        <v>0</v>
      </c>
      <c r="CT89" s="250">
        <v>1.8531857485988776</v>
      </c>
      <c r="CU89" s="250">
        <v>1.9550320256204925</v>
      </c>
      <c r="CV89" s="250">
        <v>4.548</v>
      </c>
      <c r="CW89" s="250">
        <v>4.5570000000000004</v>
      </c>
      <c r="CX89" s="193">
        <f>IFERROR(AVERAGEIF(RD[[#This Row],[IS1POA1 (KWh/m2)]:[IS7POA2 (KWh/m2)]],"&lt;&gt;0",RD[[#This Row],[IS1POA1 (KWh/m2)]:[IS7POA2 (KWh/m2)]]),"")</f>
        <v>5.3592932416666681</v>
      </c>
      <c r="CY89" s="193">
        <f>IFERROR(AVERAGEIF(RD[[#This Row],[IS1GHI1 (KWh/m2)]:[IS7GHI2 (KWh/m2)]],"&lt;&gt;0",RD[[#This Row],[IS1GHI1 (KWh/m2)]:[IS7GHI2 (KWh/m2)]]),"")</f>
        <v>4.8533310416666682</v>
      </c>
      <c r="CZ89" s="193">
        <f>IFERROR(AVERAGEIF(RD[[#This Row],[IS1POA_BS1 (KWh/m2)]:[IS7POA_BS2 (KWh/m2)]],"&lt;&gt;0",RD[[#This Row],[IS1POA_BS1 (KWh/m2)]:[IS7POA_BS2 (KWh/m2)]]),"")</f>
        <v>0.68392808333333399</v>
      </c>
      <c r="DA89" s="193">
        <f>IFERROR(AVERAGEIF(RD[[#This Row],[IS1GHI_BS1 (KWh/m2)]:[IS1GHI_BS1 (KWh/m2)2]],"&lt;&gt;0",RD[[#This Row],[IS1GHI_BS1 (KWh/m2)]:[IS1GHI_BS1 (KWh/m2)2]]),"")</f>
        <v>0.84240290833333398</v>
      </c>
      <c r="DB89" s="193">
        <f>IFERROR(AVERAGEIF(RD[[#This Row],[IS1AT1 (°C)]:[IS7AT2 (°C)]],"&lt;&gt;0",RD[[#This Row],[IS1AT1 (°C)]:[IS7AT2 (°C)]]),"")</f>
        <v>29.185792634107244</v>
      </c>
      <c r="DC89" s="193">
        <f>IFERROR(AVERAGEIF(RD[[#This Row],[IS1MT1 (°C)]:[IS7MT2 (°C)]],"&lt;&gt;0",RD[[#This Row],[IS1MT1 (°C)]:[IS7MT2 (°C)]]),"")</f>
        <v>39.942155724579699</v>
      </c>
      <c r="DD89" s="193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193">
        <f>IFERROR(AVERAGEIF(RD[[#This Row],[WS_Solar1_Avg (m/s)]:[IS7_WS_Solar1_Avg (m/s)]],"&lt;&gt;0",RD[[#This Row],[WS_Solar1_Avg (m/s)]:[IS7_WS_Solar1_Avg (m/s)]]),"")</f>
        <v>1.9041088871096852</v>
      </c>
      <c r="DG89" s="193">
        <f>IFERROR(AVERAGEIF(RD[[#This Row],[WS_Solar1_Max (m/s)]:[IS7_WS_Solar1_Max (m/s)]],"&lt;&gt;0",RD[[#This Row],[WS_Solar1_Max (m/s)]:[IS7_WS_Solar1_Max (m/s)]]),"")</f>
        <v>4.5525000000000002</v>
      </c>
      <c r="DH89" s="193">
        <f>SUM(RD[[#This Row],[IS1Inv1M1]:[IS4Inv4M2]])</f>
        <v>217651.00000000006</v>
      </c>
      <c r="DI89" s="194">
        <f>SUM(RD[[#This Row],[IS7Inv1M1]]+RD[[#This Row],[IS7Inv2M1]])</f>
        <v>12986</v>
      </c>
      <c r="DJ89" s="193">
        <f>SUM(RD[[#This Row],[IS5Inv1M1]:[IS5Inv2M2]])</f>
        <v>32154.3</v>
      </c>
      <c r="DK89" s="193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75">
        <f>SUM(RD[[#This Row],[IS12Inv1M1]:[IS12Inv1M4]])</f>
        <v>27637.5</v>
      </c>
      <c r="DO89" s="275">
        <f>SUM(RD[[#This Row],[IS13Inv1M1]:[IS13Inv2M2]])</f>
        <v>30589.5</v>
      </c>
      <c r="DP89" s="193">
        <f>SUM(RD[[#This Row],[O2R15]:[O2R26]])</f>
        <v>531074.20000000007</v>
      </c>
      <c r="DQ89" s="158">
        <v>44152.9</v>
      </c>
      <c r="DR89" s="162">
        <v>223</v>
      </c>
      <c r="DS89" s="158">
        <v>38536.5</v>
      </c>
      <c r="DT89" s="158">
        <v>235.2</v>
      </c>
      <c r="DU89" s="162">
        <v>45382.400000000001</v>
      </c>
      <c r="DV89" s="162">
        <v>428.3</v>
      </c>
      <c r="DW89" s="158">
        <v>10420.5</v>
      </c>
      <c r="DX89" s="162">
        <v>53.3</v>
      </c>
      <c r="DY89" s="162">
        <v>2876.5</v>
      </c>
      <c r="DZ89" s="162">
        <v>11.7</v>
      </c>
      <c r="EA89" s="134">
        <v>104.27</v>
      </c>
      <c r="EB89" s="230">
        <v>145179394</v>
      </c>
      <c r="EC89" s="229">
        <v>1018456.32</v>
      </c>
      <c r="ED89" s="230">
        <v>1224</v>
      </c>
      <c r="EE89" s="230">
        <v>139400</v>
      </c>
      <c r="EF89" s="158">
        <v>201293.3</v>
      </c>
      <c r="EG89" s="158">
        <v>1972.1</v>
      </c>
      <c r="EH89" s="140">
        <f>IF((RD[[#This Row],[33 kV_F3_Ex
Incomer1]]-DQ88)*1000&lt;0,0,(RD[[#This Row],[33 kV_F3_Ex
Incomer1]]-DQ88)*1000)</f>
        <v>110099.99999999854</v>
      </c>
      <c r="EI89" s="140">
        <f>IF((RD[[#This Row],[34 kV_F3_Im
Incomer1]]-DR88)*1000&lt;0,0,(RD[[#This Row],[34 kV_F3_Im
Incomer1]]-DR88)*1000)</f>
        <v>400.00000000000568</v>
      </c>
      <c r="EJ89" s="140">
        <f>IF((RD[[#This Row],[33 kV_F4_Ex
Incomer2]]-DS88)*1000&lt;0,0,(RD[[#This Row],[33 kV_F4_Ex
Incomer2]]-DS88)*1000)</f>
        <v>101500</v>
      </c>
      <c r="EK89" s="140">
        <f>IF((RD[[#This Row],[34 kV_F4_Im
Incomer2]]-DT88)*1000&lt;0,0,(RD[[#This Row],[34 kV_F4_Im
Incomer2]]-DT88)*1000)</f>
        <v>399.99999999997726</v>
      </c>
      <c r="EL89" s="140">
        <f>IF((RD[[#This Row],[33 kV_F5_Ex
Incomer3]]-DU88)*1000&lt;0,0,(RD[[#This Row],[33 kV_F5_Ex
Incomer3]]-DU88)*1000)</f>
        <v>138099.99999999854</v>
      </c>
      <c r="EM89" s="140">
        <f>IF((RD[[#This Row],[34 kV_F5_Im
Incomer3]]-DV88)*1000&lt;0,0,(RD[[#This Row],[34 kV_F5_Im
Incomer3]]-DV88)*1000)</f>
        <v>1500</v>
      </c>
      <c r="EN89" s="140">
        <f>IF((RD[[#This Row],[33 kV_F6_Ex
Incomer4]]-DW88)*1000&lt;0,0,(RD[[#This Row],[33 kV_F6_Ex
Incomer4]]-DW88)*1000)</f>
        <v>19100.000000000364</v>
      </c>
      <c r="EO89" s="140">
        <f t="shared" si="166"/>
        <v>299.99999999998295</v>
      </c>
      <c r="EP89" s="140">
        <f>IF((RD[[#This Row],[33 kV_F7_Ex
Incomer5]]-DY88)*1000&lt;0,0,(RD[[#This Row],[33 kV_F7_Ex
Incomer5]]-DY88)*1000)</f>
        <v>130900.00000000009</v>
      </c>
      <c r="EQ89" s="140">
        <f>IF((RD[[#This Row],[33 kV_F7_Im
Incomer5]]-DZ88)*1000&lt;0,0,(RD[[#This Row],[33 kV_F7_Im
Incomer5]]-DZ88)*1000)</f>
        <v>599.99999999999966</v>
      </c>
      <c r="ER89" s="140">
        <f>IF((RD[[#This Row],[33 kV_Aux Trafo]]-EA88)*1000&lt;0,0,(RD[[#This Row],[33 kV_Aux Trafo]]-EA88)*1000)</f>
        <v>280.00000000000114</v>
      </c>
      <c r="ES89" s="152">
        <f>IF((RD[[#This Row],[33kV_OG1_Ex_]]-EB88)*1&lt;0,0,(RD[[#This Row],[33kV_OG1_Ex_]]-EB88)*1)</f>
        <v>524944</v>
      </c>
      <c r="ET89" s="140">
        <f>IF((RD[[#This Row],[33kV_OG1_Im]]-EC88)*1&lt;0,0,(RD[[#This Row],[33kV_OG1_Im]]-EC88)*1)</f>
        <v>3432.4479999999749</v>
      </c>
      <c r="EU89" s="140">
        <f>IF((RD[[#This Row],[132kV_TX1_EX]]-ED88)*720&lt;=0,"",(RD[[#This Row],[132kV_TX1_EX]]-ED88)*720)</f>
        <v>2880</v>
      </c>
      <c r="EV89" s="140">
        <f>IF((RD[[#This Row],[132 kV_Tx1_Im]]-EE88)*720&lt;=0,0,(RD[[#This Row],[132 kV_Tx1_Im]]-EE88)*720)</f>
        <v>376560</v>
      </c>
      <c r="EW89" s="140">
        <f>IF((RD[[#This Row],[132kV_L1_Ex]]-EF88)*720&lt;=0,0,(RD[[#This Row],[132kV_L1_Ex]]-EF88)*720)</f>
        <v>523367.99999999581</v>
      </c>
      <c r="EX89" s="140">
        <f>IF((RD[[#This Row],[132kV_L1_Im]]-EG88)*720&lt;=0,0,(RD[[#This Row],[132kV_L1_Im]]-EG88)*720)</f>
        <v>4031.9999999999345</v>
      </c>
      <c r="EY89" s="231">
        <f>IFERROR(RD[[#This Row],[33kV_OG1_Ex (MWh)]]+RD[[#This Row],[33kV_OG1_Im (MWh)]],"")</f>
        <v>528376.44799999997</v>
      </c>
      <c r="EZ89" s="142">
        <f>RD[[#This Row],[33kV_OG1_Ex (MWh)]]-RD[[#This Row],[33kV_OG1_Im (MWh)]]</f>
        <v>521511.55200000003</v>
      </c>
      <c r="FA89" s="142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32">
        <f>IFERROR((RD[[#This Row],[Sunset Time (POA&lt;20 W/m2)]]-RD[[#This Row],[Sunrise Time (POA&gt;20 W/m2)]])*24,0)</f>
        <v>12.5</v>
      </c>
      <c r="FD89" s="233">
        <v>122.7</v>
      </c>
      <c r="FE89" s="287" t="s">
        <v>294</v>
      </c>
      <c r="FG89" s="138" t="str">
        <f>IFERROR(RD[[#This Row],[E_AC (WPR)]]/RD[[#This Row],[E_DC (WPR)]],"")</f>
        <v/>
      </c>
    </row>
    <row r="90" spans="1:163">
      <c r="A90" s="130">
        <f t="shared" si="161"/>
        <v>45830</v>
      </c>
      <c r="B90" s="132">
        <f>YEAR(RD[[#This Row],[Date]])+IF(MONTH(RD[[#This Row],[Date]])&gt;=4,1,0)</f>
        <v>2026</v>
      </c>
      <c r="C90" s="132">
        <f>YEAR(RD[[#This Row],[Date]])</f>
        <v>2025</v>
      </c>
      <c r="D90" s="133">
        <f t="shared" si="165"/>
        <v>45809</v>
      </c>
      <c r="E90" s="132">
        <f>DAY(EOMONTH(RD[[#This Row],[Date]],0))</f>
        <v>30</v>
      </c>
      <c r="F90" s="146">
        <v>0.25347222222222221</v>
      </c>
      <c r="G90" s="156">
        <v>0.77013888888888893</v>
      </c>
      <c r="H90" s="121">
        <v>4193.7</v>
      </c>
      <c r="I90" s="257">
        <v>4170</v>
      </c>
      <c r="J90" s="121">
        <v>3919.9</v>
      </c>
      <c r="K90" s="121">
        <v>3932.4</v>
      </c>
      <c r="L90" s="121">
        <v>4060.1</v>
      </c>
      <c r="M90" s="121">
        <v>4171.8</v>
      </c>
      <c r="N90" s="121">
        <v>4051.6</v>
      </c>
      <c r="O90" s="121">
        <v>4426.2</v>
      </c>
      <c r="P90" s="121">
        <v>4173.1000000000004</v>
      </c>
      <c r="Q90" s="121">
        <v>4047.1</v>
      </c>
      <c r="R90" s="121">
        <v>4194.1000000000004</v>
      </c>
      <c r="S90" s="255">
        <v>4203.5</v>
      </c>
      <c r="T90" s="121">
        <v>4393.6000000000004</v>
      </c>
      <c r="U90" s="121">
        <v>4235.7</v>
      </c>
      <c r="V90" s="121">
        <v>4302.1000000000004</v>
      </c>
      <c r="W90" s="121">
        <v>4102.3</v>
      </c>
      <c r="X90" s="255">
        <v>5798.2</v>
      </c>
      <c r="Y90" s="192">
        <v>6559.8</v>
      </c>
      <c r="Z90" s="192">
        <v>5648.4</v>
      </c>
      <c r="AA90" s="192">
        <v>5926.1</v>
      </c>
      <c r="AB90" s="255">
        <v>6295.2</v>
      </c>
      <c r="AC90" s="192">
        <v>3893.5</v>
      </c>
      <c r="AD90" s="192">
        <v>5964.4</v>
      </c>
      <c r="AE90" s="192">
        <v>6070</v>
      </c>
      <c r="AF90" s="255">
        <v>5891.9</v>
      </c>
      <c r="AG90" s="192">
        <v>5867.2</v>
      </c>
      <c r="AH90" s="192">
        <v>5895.6</v>
      </c>
      <c r="AI90" s="255">
        <v>5918.4</v>
      </c>
      <c r="AJ90" s="192">
        <v>4502.8</v>
      </c>
      <c r="AK90" s="255">
        <v>4671.3</v>
      </c>
      <c r="AL90" s="192">
        <v>4585.6000000000004</v>
      </c>
      <c r="AM90" s="255">
        <v>4648.8999999999996</v>
      </c>
      <c r="AN90" s="192">
        <v>4548.3</v>
      </c>
      <c r="AO90" s="255">
        <v>4706.5</v>
      </c>
      <c r="AP90" s="192">
        <v>4604.1000000000004</v>
      </c>
      <c r="AQ90" s="255">
        <v>4557.1000000000004</v>
      </c>
      <c r="AR90" s="192">
        <v>3627.3</v>
      </c>
      <c r="AS90" s="255">
        <v>3647.8</v>
      </c>
      <c r="AT90" s="192">
        <v>3645.4</v>
      </c>
      <c r="AU90" s="255">
        <v>3660.7</v>
      </c>
      <c r="AV90" s="192">
        <v>3718.2</v>
      </c>
      <c r="AW90" s="192">
        <v>3675.2</v>
      </c>
      <c r="AX90" s="192">
        <v>5162</v>
      </c>
      <c r="AY90" s="192">
        <v>5794.3</v>
      </c>
      <c r="AZ90" s="192">
        <v>4183.6000000000004</v>
      </c>
      <c r="BA90" s="192">
        <v>5069.3</v>
      </c>
      <c r="BB90" s="192">
        <v>5806.8</v>
      </c>
      <c r="BC90" s="192">
        <v>5521.1</v>
      </c>
      <c r="BD90" s="192">
        <v>5166.7</v>
      </c>
      <c r="BE90" s="192">
        <v>5730.1</v>
      </c>
      <c r="BF90" s="192">
        <v>6239.8</v>
      </c>
      <c r="BG90" s="192">
        <v>6336.4</v>
      </c>
      <c r="BH90" s="192">
        <v>6282.3</v>
      </c>
      <c r="BI90" s="192">
        <v>6464.1</v>
      </c>
      <c r="BJ90" s="192">
        <v>4232.2</v>
      </c>
      <c r="BK90" s="192">
        <v>3287</v>
      </c>
      <c r="BL90" s="192">
        <v>3991.7</v>
      </c>
      <c r="BM90" s="192">
        <v>3954.2</v>
      </c>
      <c r="BN90" s="192">
        <v>4483.8999999999996</v>
      </c>
      <c r="BO90" s="192">
        <v>4121.2</v>
      </c>
      <c r="BP90" s="192">
        <v>4599.8999999999996</v>
      </c>
      <c r="BQ90" s="192">
        <v>4619</v>
      </c>
      <c r="BR90" s="192">
        <v>4911.3999999999996</v>
      </c>
      <c r="BS90" s="192">
        <v>5064.3</v>
      </c>
      <c r="BT90" s="192">
        <v>4890</v>
      </c>
      <c r="BU90" s="192">
        <v>5175</v>
      </c>
      <c r="BV90" s="192">
        <v>2053.1</v>
      </c>
      <c r="BW90" s="192">
        <v>552.5</v>
      </c>
      <c r="BX90" s="192">
        <v>2504.5</v>
      </c>
      <c r="BY90" s="192">
        <v>1752.7</v>
      </c>
      <c r="BZ90" s="192">
        <v>642.20000000000005</v>
      </c>
      <c r="CA90" s="192">
        <v>536.20000000000005</v>
      </c>
      <c r="CB90" s="192">
        <v>2664.1</v>
      </c>
      <c r="CC90" s="192">
        <v>4386.6000000000004</v>
      </c>
      <c r="CD90" s="250">
        <v>3.3831749166666665</v>
      </c>
      <c r="CE90" s="250">
        <v>2.7478481500000003</v>
      </c>
      <c r="CF90" s="250">
        <v>2.6358150666666718</v>
      </c>
      <c r="CG90" s="250">
        <v>2.7759333499999954</v>
      </c>
      <c r="CH90" s="250">
        <v>0.32665090000000041</v>
      </c>
      <c r="CI90" s="250">
        <v>0.44135546666666681</v>
      </c>
      <c r="CJ90" s="250">
        <v>0.50180029999999931</v>
      </c>
      <c r="CK90" s="250">
        <v>0.45140669999999961</v>
      </c>
      <c r="CL90" s="250">
        <v>28.801201716738237</v>
      </c>
      <c r="CM90" s="250">
        <v>28.599845493562256</v>
      </c>
      <c r="CN90" s="250">
        <v>38.815381974248893</v>
      </c>
      <c r="CO90" s="250">
        <v>35.995758798283291</v>
      </c>
      <c r="CP90" s="250">
        <v>67.922712446352008</v>
      </c>
      <c r="CQ90" s="250">
        <v>70.682678111587919</v>
      </c>
      <c r="CR90" s="250">
        <v>0</v>
      </c>
      <c r="CS90" s="250">
        <v>6.1802575107296226E-2</v>
      </c>
      <c r="CT90" s="250">
        <v>1.8879141630901273</v>
      </c>
      <c r="CU90" s="250">
        <v>1.8651965665236052</v>
      </c>
      <c r="CV90" s="250">
        <v>4.1159999999999997</v>
      </c>
      <c r="CW90" s="250">
        <v>4.8419999999999996</v>
      </c>
      <c r="CX90" s="193">
        <f>IFERROR(AVERAGEIF(RD[[#This Row],[IS1POA1 (KWh/m2)]:[IS7POA2 (KWh/m2)]],"&lt;&gt;0",RD[[#This Row],[IS1POA1 (KWh/m2)]:[IS7POA2 (KWh/m2)]]),"")</f>
        <v>3.0655115333333334</v>
      </c>
      <c r="CY90" s="193">
        <f>IFERROR(AVERAGEIF(RD[[#This Row],[IS1GHI1 (KWh/m2)]:[IS7GHI2 (KWh/m2)]],"&lt;&gt;0",RD[[#This Row],[IS1GHI1 (KWh/m2)]:[IS7GHI2 (KWh/m2)]]),"")</f>
        <v>2.7058742083333334</v>
      </c>
      <c r="CZ90" s="193">
        <f>IFERROR(AVERAGEIF(RD[[#This Row],[IS1POA_BS1 (KWh/m2)]:[IS7POA_BS2 (KWh/m2)]],"&lt;&gt;0",RD[[#This Row],[IS1POA_BS1 (KWh/m2)]:[IS7POA_BS2 (KWh/m2)]]),"")</f>
        <v>0.38400318333333361</v>
      </c>
      <c r="DA90" s="193">
        <f>IFERROR(AVERAGEIF(RD[[#This Row],[IS1GHI_BS1 (KWh/m2)]:[IS1GHI_BS1 (KWh/m2)2]],"&lt;&gt;0",RD[[#This Row],[IS1GHI_BS1 (KWh/m2)]:[IS1GHI_BS1 (KWh/m2)2]]),"")</f>
        <v>0.47660349999999946</v>
      </c>
      <c r="DB90" s="193">
        <f>IFERROR(AVERAGEIF(RD[[#This Row],[IS1AT1 (°C)]:[IS7AT2 (°C)]],"&lt;&gt;0",RD[[#This Row],[IS1AT1 (°C)]:[IS7AT2 (°C)]]),"")</f>
        <v>28.700523605150245</v>
      </c>
      <c r="DC90" s="193">
        <f>IFERROR(AVERAGEIF(RD[[#This Row],[IS1MT1 (°C)]:[IS7MT2 (°C)]],"&lt;&gt;0",RD[[#This Row],[IS1MT1 (°C)]:[IS7MT2 (°C)]]),"")</f>
        <v>37.405570386266092</v>
      </c>
      <c r="DD90" s="193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193">
        <f>IFERROR(AVERAGEIF(RD[[#This Row],[WS_Solar1_Avg (m/s)]:[IS7_WS_Solar1_Avg (m/s)]],"&lt;&gt;0",RD[[#This Row],[WS_Solar1_Avg (m/s)]:[IS7_WS_Solar1_Avg (m/s)]]),"")</f>
        <v>1.8765553648068662</v>
      </c>
      <c r="DG90" s="193">
        <f>IFERROR(AVERAGEIF(RD[[#This Row],[WS_Solar1_Max (m/s)]:[IS7_WS_Solar1_Max (m/s)]],"&lt;&gt;0",RD[[#This Row],[WS_Solar1_Max (m/s)]:[IS7_WS_Solar1_Max (m/s)]]),"")</f>
        <v>4.4789999999999992</v>
      </c>
      <c r="DH90" s="193">
        <f>SUM(RD[[#This Row],[IS1Inv1M1]:[IS4Inv4M2]])</f>
        <v>136305.89999999997</v>
      </c>
      <c r="DI90" s="194">
        <f>SUM(RD[[#This Row],[IS7Inv1M1]]+RD[[#This Row],[IS7Inv2M1]])</f>
        <v>7275.1</v>
      </c>
      <c r="DJ90" s="193">
        <f>SUM(RD[[#This Row],[IS5Inv1M1]:[IS5Inv2M2]])</f>
        <v>18408.599999999999</v>
      </c>
      <c r="DK90" s="193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75">
        <f>SUM(RD[[#This Row],[IS12Inv1M1]:[IS12Inv1M4]])</f>
        <v>17824</v>
      </c>
      <c r="DO90" s="275">
        <f>SUM(RD[[#This Row],[IS13Inv1M1]:[IS13Inv2M2]])</f>
        <v>20040.7</v>
      </c>
      <c r="DP90" s="193">
        <f>SUM(RD[[#This Row],[O2R15]:[O2R26]])</f>
        <v>331283.3</v>
      </c>
      <c r="DQ90" s="158">
        <v>44222.2</v>
      </c>
      <c r="DR90" s="162">
        <v>223.3</v>
      </c>
      <c r="DS90" s="158">
        <v>38600.6</v>
      </c>
      <c r="DT90" s="158">
        <v>235.5</v>
      </c>
      <c r="DU90" s="162">
        <v>45461</v>
      </c>
      <c r="DV90" s="162">
        <v>429.4</v>
      </c>
      <c r="DW90" s="158">
        <v>10435.9</v>
      </c>
      <c r="DX90" s="162">
        <v>53.5</v>
      </c>
      <c r="DY90" s="162">
        <v>2962.1</v>
      </c>
      <c r="DZ90" s="162">
        <v>12.2</v>
      </c>
      <c r="EA90" s="134">
        <v>104.48</v>
      </c>
      <c r="EB90" s="230">
        <v>145508876</v>
      </c>
      <c r="EC90" s="229">
        <v>1020830.272</v>
      </c>
      <c r="ED90" s="230">
        <v>1226</v>
      </c>
      <c r="EE90" s="230">
        <v>139728</v>
      </c>
      <c r="EF90" s="158">
        <v>201749.5</v>
      </c>
      <c r="EG90" s="158">
        <v>1976</v>
      </c>
      <c r="EH90" s="140">
        <f>IF((RD[[#This Row],[33 kV_F3_Ex
Incomer1]]-DQ89)*1000&lt;0,0,(RD[[#This Row],[33 kV_F3_Ex
Incomer1]]-DQ89)*1000)</f>
        <v>69299.999999995634</v>
      </c>
      <c r="EI90" s="140">
        <f>IF((RD[[#This Row],[34 kV_F3_Im
Incomer1]]-DR89)*1000&lt;0,0,(RD[[#This Row],[34 kV_F3_Im
Incomer1]]-DR89)*1000)</f>
        <v>300.00000000001137</v>
      </c>
      <c r="EJ90" s="140">
        <f>IF((RD[[#This Row],[33 kV_F4_Ex
Incomer2]]-DS89)*1000&lt;0,0,(RD[[#This Row],[33 kV_F4_Ex
Incomer2]]-DS89)*1000)</f>
        <v>64099.999999998545</v>
      </c>
      <c r="EK90" s="140">
        <f>IF((RD[[#This Row],[34 kV_F4_Im
Incomer2]]-DT89)*1000&lt;0,0,(RD[[#This Row],[34 kV_F4_Im
Incomer2]]-DT89)*1000)</f>
        <v>300.00000000001137</v>
      </c>
      <c r="EL90" s="140">
        <f>IF((RD[[#This Row],[33 kV_F5_Ex
Incomer3]]-DU89)*1000&lt;0,0,(RD[[#This Row],[33 kV_F5_Ex
Incomer3]]-DU89)*1000)</f>
        <v>78599.999999998545</v>
      </c>
      <c r="EM90" s="140">
        <f>IF((RD[[#This Row],[34 kV_F5_Im
Incomer3]]-DV89)*1000&lt;0,0,(RD[[#This Row],[34 kV_F5_Im
Incomer3]]-DV89)*1000)</f>
        <v>1099.9999999999659</v>
      </c>
      <c r="EN90" s="140">
        <f>IF((RD[[#This Row],[33 kV_F6_Ex
Incomer4]]-DW89)*1000&lt;0,0,(RD[[#This Row],[33 kV_F6_Ex
Incomer4]]-DW89)*1000)</f>
        <v>15399.999999999636</v>
      </c>
      <c r="EO90" s="140">
        <f t="shared" si="166"/>
        <v>400.00000000000568</v>
      </c>
      <c r="EP90" s="140">
        <f>IF((RD[[#This Row],[33 kV_F7_Ex
Incomer5]]-DY89)*1000&lt;0,0,(RD[[#This Row],[33 kV_F7_Ex
Incomer5]]-DY89)*1000)</f>
        <v>85599.999999999913</v>
      </c>
      <c r="EQ90" s="140">
        <f>IF((RD[[#This Row],[33 kV_F7_Im
Incomer5]]-DZ89)*1000&lt;0,0,(RD[[#This Row],[33 kV_F7_Im
Incomer5]]-DZ89)*1000)</f>
        <v>500</v>
      </c>
      <c r="ER90" s="140">
        <f>IF((RD[[#This Row],[33 kV_Aux Trafo]]-EA89)*1000&lt;0,0,(RD[[#This Row],[33 kV_Aux Trafo]]-EA89)*1000)</f>
        <v>210.00000000000796</v>
      </c>
      <c r="ES90" s="152">
        <f>IF((RD[[#This Row],[33kV_OG1_Ex_]]-EB89)*1&lt;0,0,(RD[[#This Row],[33kV_OG1_Ex_]]-EB89)*1)</f>
        <v>329482</v>
      </c>
      <c r="ET90" s="140">
        <f>IF((RD[[#This Row],[33kV_OG1_Im]]-EC89)*1&lt;0,0,(RD[[#This Row],[33kV_OG1_Im]]-EC89)*1)</f>
        <v>2373.9520000000484</v>
      </c>
      <c r="EU90" s="140">
        <f>IF((RD[[#This Row],[132kV_TX1_EX]]-ED89)*720&lt;=0,"",(RD[[#This Row],[132kV_TX1_EX]]-ED89)*720)</f>
        <v>1440</v>
      </c>
      <c r="EV90" s="140">
        <f>IF((RD[[#This Row],[132 kV_Tx1_Im]]-EE89)*720&lt;=0,0,(RD[[#This Row],[132 kV_Tx1_Im]]-EE89)*720)</f>
        <v>236160</v>
      </c>
      <c r="EW90" s="140">
        <f>IF((RD[[#This Row],[132kV_L1_Ex]]-EF89)*720&lt;=0,0,(RD[[#This Row],[132kV_L1_Ex]]-EF89)*720)</f>
        <v>328464.00000000838</v>
      </c>
      <c r="EX90" s="140">
        <f>IF((RD[[#This Row],[132kV_L1_Im]]-EG89)*720&lt;=0,0,(RD[[#This Row],[132kV_L1_Im]]-EG89)*720)</f>
        <v>2808.0000000000655</v>
      </c>
      <c r="EY90" s="231">
        <f>IFERROR(RD[[#This Row],[33kV_OG1_Ex (MWh)]]+RD[[#This Row],[33kV_OG1_Im (MWh)]],"")</f>
        <v>331855.95200000005</v>
      </c>
      <c r="EZ90" s="142">
        <f>RD[[#This Row],[33kV_OG1_Ex (MWh)]]-RD[[#This Row],[33kV_OG1_Im (MWh)]]</f>
        <v>327108.04799999995</v>
      </c>
      <c r="FA90" s="142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32">
        <f>IFERROR((RD[[#This Row],[Sunset Time (POA&lt;20 W/m2)]]-RD[[#This Row],[Sunrise Time (POA&gt;20 W/m2)]])*24,0)</f>
        <v>12.400000000000002</v>
      </c>
      <c r="FD90" s="233">
        <v>122.7</v>
      </c>
      <c r="FE90" s="287" t="s">
        <v>297</v>
      </c>
      <c r="FG90" s="138" t="str">
        <f>IFERROR(RD[[#This Row],[E_AC (WPR)]]/RD[[#This Row],[E_DC (WPR)]],"")</f>
        <v/>
      </c>
    </row>
    <row r="91" spans="1:163">
      <c r="A91" s="130">
        <f t="shared" si="161"/>
        <v>45831</v>
      </c>
      <c r="B91" s="132">
        <f>YEAR(RD[[#This Row],[Date]])+IF(MONTH(RD[[#This Row],[Date]])&gt;=4,1,0)</f>
        <v>2026</v>
      </c>
      <c r="C91" s="132">
        <f>YEAR(RD[[#This Row],[Date]])</f>
        <v>2025</v>
      </c>
      <c r="D91" s="133">
        <f t="shared" si="165"/>
        <v>45809</v>
      </c>
      <c r="E91" s="132">
        <f>DAY(EOMONTH(RD[[#This Row],[Date]],0))</f>
        <v>30</v>
      </c>
      <c r="F91" s="146">
        <v>0.25347222222222221</v>
      </c>
      <c r="G91" s="156">
        <v>0.77777777777777779</v>
      </c>
      <c r="H91" s="121">
        <v>4317.8999999999996</v>
      </c>
      <c r="I91" s="257">
        <v>4326.3</v>
      </c>
      <c r="J91" s="121">
        <v>4029.8</v>
      </c>
      <c r="K91" s="121">
        <v>4030.3</v>
      </c>
      <c r="L91" s="121">
        <v>4134.8999999999996</v>
      </c>
      <c r="M91" s="121">
        <v>4269.5</v>
      </c>
      <c r="N91" s="121">
        <v>4174.3</v>
      </c>
      <c r="O91" s="121">
        <v>4617.2</v>
      </c>
      <c r="P91" s="121">
        <v>4300.3</v>
      </c>
      <c r="Q91" s="121">
        <v>4153.3999999999996</v>
      </c>
      <c r="R91" s="121">
        <v>4310.3</v>
      </c>
      <c r="S91" s="255">
        <v>4342.8999999999996</v>
      </c>
      <c r="T91" s="121">
        <v>4531.2</v>
      </c>
      <c r="U91" s="121">
        <v>4345.6000000000004</v>
      </c>
      <c r="V91" s="121">
        <v>4424.7</v>
      </c>
      <c r="W91" s="121">
        <v>4240.3</v>
      </c>
      <c r="X91" s="255">
        <v>6027.7</v>
      </c>
      <c r="Y91" s="192">
        <v>6862.2</v>
      </c>
      <c r="Z91" s="192">
        <v>5843.3</v>
      </c>
      <c r="AA91" s="192">
        <v>6127.5</v>
      </c>
      <c r="AB91" s="255">
        <v>6557.9</v>
      </c>
      <c r="AC91" s="192">
        <v>3947.9</v>
      </c>
      <c r="AD91" s="192">
        <v>6068.1</v>
      </c>
      <c r="AE91" s="192">
        <v>6161.2</v>
      </c>
      <c r="AF91" s="255">
        <v>6032.3</v>
      </c>
      <c r="AG91" s="192">
        <v>6065</v>
      </c>
      <c r="AH91" s="192">
        <v>5993</v>
      </c>
      <c r="AI91" s="255">
        <v>6001.9</v>
      </c>
      <c r="AJ91" s="192">
        <v>4575.5</v>
      </c>
      <c r="AK91" s="255">
        <v>4716.3999999999996</v>
      </c>
      <c r="AL91" s="192">
        <v>4603.2</v>
      </c>
      <c r="AM91" s="255">
        <v>4654.1000000000004</v>
      </c>
      <c r="AN91" s="192">
        <v>4583.2</v>
      </c>
      <c r="AO91" s="255">
        <v>4731.5</v>
      </c>
      <c r="AP91" s="192">
        <v>4661</v>
      </c>
      <c r="AQ91" s="255">
        <v>4599</v>
      </c>
      <c r="AR91" s="192">
        <v>3657</v>
      </c>
      <c r="AS91" s="255">
        <v>3662.1</v>
      </c>
      <c r="AT91" s="192">
        <v>3668.6</v>
      </c>
      <c r="AU91" s="255">
        <v>3694.2</v>
      </c>
      <c r="AV91" s="192">
        <v>3732.3</v>
      </c>
      <c r="AW91" s="192">
        <v>3689.6</v>
      </c>
      <c r="AX91" s="192">
        <v>5269.2</v>
      </c>
      <c r="AY91" s="192">
        <v>5931.9</v>
      </c>
      <c r="AZ91" s="192">
        <v>4229.8999999999996</v>
      </c>
      <c r="BA91" s="192">
        <v>5127.1000000000004</v>
      </c>
      <c r="BB91" s="192">
        <v>5912.2</v>
      </c>
      <c r="BC91" s="192">
        <v>5653.1</v>
      </c>
      <c r="BD91" s="192">
        <v>5113</v>
      </c>
      <c r="BE91" s="192">
        <v>5635.2</v>
      </c>
      <c r="BF91" s="192">
        <v>6111.3</v>
      </c>
      <c r="BG91" s="192">
        <v>6146.4</v>
      </c>
      <c r="BH91" s="192">
        <v>6074.5</v>
      </c>
      <c r="BI91" s="192">
        <v>6274.1</v>
      </c>
      <c r="BJ91" s="192">
        <v>4020.4</v>
      </c>
      <c r="BK91" s="192">
        <v>3103</v>
      </c>
      <c r="BL91" s="192">
        <v>3785</v>
      </c>
      <c r="BM91" s="192">
        <v>3750</v>
      </c>
      <c r="BN91" s="192">
        <v>4264.5</v>
      </c>
      <c r="BO91" s="192">
        <v>3917.8</v>
      </c>
      <c r="BP91" s="192">
        <v>4361</v>
      </c>
      <c r="BQ91" s="192">
        <v>4404.7</v>
      </c>
      <c r="BR91" s="192">
        <v>4688.3</v>
      </c>
      <c r="BS91" s="192">
        <v>4846.2</v>
      </c>
      <c r="BT91" s="192">
        <v>4675.3</v>
      </c>
      <c r="BU91" s="192">
        <v>4945.2</v>
      </c>
      <c r="BV91" s="192">
        <v>1898.4</v>
      </c>
      <c r="BW91" s="192">
        <v>498.9</v>
      </c>
      <c r="BX91" s="192">
        <v>3492.6</v>
      </c>
      <c r="BY91" s="192">
        <v>1919.4</v>
      </c>
      <c r="BZ91" s="192">
        <v>581.9</v>
      </c>
      <c r="CA91" s="192">
        <v>483.4</v>
      </c>
      <c r="CB91" s="192">
        <v>2479.9</v>
      </c>
      <c r="CC91" s="192">
        <v>4178.8999999999996</v>
      </c>
      <c r="CD91" s="250">
        <v>3.4551595333333323</v>
      </c>
      <c r="CE91" s="250">
        <v>2.7390373833333315</v>
      </c>
      <c r="CF91" s="250">
        <v>2.6891340833333319</v>
      </c>
      <c r="CG91" s="250">
        <v>2.7390373833333315</v>
      </c>
      <c r="CH91" s="250">
        <v>0.33593361666666727</v>
      </c>
      <c r="CI91" s="250">
        <v>0.42498816666666628</v>
      </c>
      <c r="CJ91" s="250">
        <v>0.50771648333333408</v>
      </c>
      <c r="CK91" s="250">
        <v>0.44849651666666651</v>
      </c>
      <c r="CL91" s="250">
        <v>27.967526041666652</v>
      </c>
      <c r="CM91" s="250">
        <v>27.854704861111131</v>
      </c>
      <c r="CN91" s="250">
        <v>38.174468749999974</v>
      </c>
      <c r="CO91" s="250">
        <v>35.320512152777773</v>
      </c>
      <c r="CP91" s="250">
        <v>72.933307291666694</v>
      </c>
      <c r="CQ91" s="250">
        <v>74.675086805555694</v>
      </c>
      <c r="CR91" s="250">
        <v>0</v>
      </c>
      <c r="CS91" s="250">
        <v>0</v>
      </c>
      <c r="CT91" s="250">
        <v>1.7810885416666697</v>
      </c>
      <c r="CU91" s="250">
        <v>1.8733880208333342</v>
      </c>
      <c r="CV91" s="250">
        <v>4.5720000000000001</v>
      </c>
      <c r="CW91" s="250">
        <v>4.7489999999999997</v>
      </c>
      <c r="CX91" s="193">
        <f>IFERROR(AVERAGEIF(RD[[#This Row],[IS1POA1 (KWh/m2)]:[IS7POA2 (KWh/m2)]],"&lt;&gt;0",RD[[#This Row],[IS1POA1 (KWh/m2)]:[IS7POA2 (KWh/m2)]]),"")</f>
        <v>3.0970984583333321</v>
      </c>
      <c r="CY91" s="193">
        <f>IFERROR(AVERAGEIF(RD[[#This Row],[IS1GHI1 (KWh/m2)]:[IS7GHI2 (KWh/m2)]],"&lt;&gt;0",RD[[#This Row],[IS1GHI1 (KWh/m2)]:[IS7GHI2 (KWh/m2)]]),"")</f>
        <v>2.7140857333333317</v>
      </c>
      <c r="CZ91" s="193">
        <f>IFERROR(AVERAGEIF(RD[[#This Row],[IS1POA_BS1 (KWh/m2)]:[IS7POA_BS2 (KWh/m2)]],"&lt;&gt;0",RD[[#This Row],[IS1POA_BS1 (KWh/m2)]:[IS7POA_BS2 (KWh/m2)]]),"")</f>
        <v>0.38046089166666675</v>
      </c>
      <c r="DA91" s="193">
        <f>IFERROR(AVERAGEIF(RD[[#This Row],[IS1GHI_BS1 (KWh/m2)]:[IS1GHI_BS1 (KWh/m2)2]],"&lt;&gt;0",RD[[#This Row],[IS1GHI_BS1 (KWh/m2)]:[IS1GHI_BS1 (KWh/m2)2]]),"")</f>
        <v>0.47810650000000032</v>
      </c>
      <c r="DB91" s="193">
        <f>IFERROR(AVERAGEIF(RD[[#This Row],[IS1AT1 (°C)]:[IS7AT2 (°C)]],"&lt;&gt;0",RD[[#This Row],[IS1AT1 (°C)]:[IS7AT2 (°C)]]),"")</f>
        <v>27.911115451388891</v>
      </c>
      <c r="DC91" s="193">
        <f>IFERROR(AVERAGEIF(RD[[#This Row],[IS1MT1 (°C)]:[IS7MT2 (°C)]],"&lt;&gt;0",RD[[#This Row],[IS1MT1 (°C)]:[IS7MT2 (°C)]]),"")</f>
        <v>36.74749045138887</v>
      </c>
      <c r="DD91" s="193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193">
        <f>IFERROR(AVERAGEIF(RD[[#This Row],[WS_Solar1_Avg (m/s)]:[IS7_WS_Solar1_Avg (m/s)]],"&lt;&gt;0",RD[[#This Row],[WS_Solar1_Avg (m/s)]:[IS7_WS_Solar1_Avg (m/s)]]),"")</f>
        <v>1.8272382812500019</v>
      </c>
      <c r="DG91" s="193">
        <f>IFERROR(AVERAGEIF(RD[[#This Row],[WS_Solar1_Max (m/s)]:[IS7_WS_Solar1_Max (m/s)]],"&lt;&gt;0",RD[[#This Row],[WS_Solar1_Max (m/s)]:[IS7_WS_Solar1_Max (m/s)]]),"")</f>
        <v>4.6604999999999999</v>
      </c>
      <c r="DH91" s="193">
        <f>SUM(RD[[#This Row],[IS1Inv1M1]:[IS4Inv4M2]])</f>
        <v>140236.9</v>
      </c>
      <c r="DI91" s="194">
        <f>SUM(RD[[#This Row],[IS7Inv1M1]]+RD[[#This Row],[IS7Inv2M1]])</f>
        <v>7319.1</v>
      </c>
      <c r="DJ91" s="193">
        <f>SUM(RD[[#This Row],[IS5Inv1M1]:[IS5Inv2M2]])</f>
        <v>18549.199999999997</v>
      </c>
      <c r="DK91" s="193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75">
        <f>SUM(RD[[#This Row],[IS12Inv1M1]:[IS12Inv1M4]])</f>
        <v>16948</v>
      </c>
      <c r="DO91" s="275">
        <f>SUM(RD[[#This Row],[IS13Inv1M1]:[IS13Inv2M2]])</f>
        <v>19155</v>
      </c>
      <c r="DP91" s="193">
        <f>SUM(RD[[#This Row],[O2R15]:[O2R26]])</f>
        <v>333237.3</v>
      </c>
      <c r="DQ91" s="158">
        <v>44293.599999999999</v>
      </c>
      <c r="DR91" s="162">
        <v>223.7</v>
      </c>
      <c r="DS91" s="158">
        <v>38666.9</v>
      </c>
      <c r="DT91" s="158">
        <v>235.8</v>
      </c>
      <c r="DU91" s="162">
        <v>45540.5</v>
      </c>
      <c r="DV91" s="162">
        <v>430.6</v>
      </c>
      <c r="DW91" s="158">
        <v>10451.799999999999</v>
      </c>
      <c r="DX91" s="162">
        <v>53.6</v>
      </c>
      <c r="DY91" s="162">
        <v>3045.1</v>
      </c>
      <c r="DZ91" s="162">
        <v>12.7</v>
      </c>
      <c r="EA91" s="134">
        <v>104.71</v>
      </c>
      <c r="EB91" s="230">
        <v>145840848</v>
      </c>
      <c r="EC91" s="229">
        <v>1023598.272</v>
      </c>
      <c r="ED91" s="230">
        <v>1230</v>
      </c>
      <c r="EE91" s="230">
        <v>140059</v>
      </c>
      <c r="EF91" s="158">
        <v>202209.2</v>
      </c>
      <c r="EG91" s="158">
        <v>1980.4</v>
      </c>
      <c r="EH91" s="140">
        <f>IF((RD[[#This Row],[33 kV_F3_Ex
Incomer1]]-DQ90)*1000&lt;0,0,(RD[[#This Row],[33 kV_F3_Ex
Incomer1]]-DQ90)*1000)</f>
        <v>71400.000000001455</v>
      </c>
      <c r="EI91" s="140">
        <f>IF((RD[[#This Row],[34 kV_F3_Im
Incomer1]]-DR90)*1000&lt;0,0,(RD[[#This Row],[34 kV_F3_Im
Incomer1]]-DR90)*1000)</f>
        <v>399.99999999997726</v>
      </c>
      <c r="EJ91" s="140">
        <f>IF((RD[[#This Row],[33 kV_F4_Ex
Incomer2]]-DS90)*1000&lt;0,0,(RD[[#This Row],[33 kV_F4_Ex
Incomer2]]-DS90)*1000)</f>
        <v>66300.00000000291</v>
      </c>
      <c r="EK91" s="140">
        <f>IF((RD[[#This Row],[34 kV_F4_Im
Incomer2]]-DT90)*1000&lt;0,0,(RD[[#This Row],[34 kV_F4_Im
Incomer2]]-DT90)*1000)</f>
        <v>300.00000000001137</v>
      </c>
      <c r="EL91" s="140">
        <f>IF((RD[[#This Row],[33 kV_F5_Ex
Incomer3]]-DU90)*1000&lt;0,0,(RD[[#This Row],[33 kV_F5_Ex
Incomer3]]-DU90)*1000)</f>
        <v>79500</v>
      </c>
      <c r="EM91" s="140">
        <f>IF((RD[[#This Row],[34 kV_F5_Im
Incomer3]]-DV90)*1000&lt;0,0,(RD[[#This Row],[34 kV_F5_Im
Incomer3]]-DV90)*1000)</f>
        <v>1200.0000000000455</v>
      </c>
      <c r="EN91" s="140">
        <f>IF((RD[[#This Row],[33 kV_F6_Ex
Incomer4]]-DW90)*1000&lt;0,0,(RD[[#This Row],[33 kV_F6_Ex
Incomer4]]-DW90)*1000)</f>
        <v>15899.999999999636</v>
      </c>
      <c r="EO91" s="140">
        <f t="shared" si="166"/>
        <v>300.00000000001137</v>
      </c>
      <c r="EP91" s="140">
        <f>IF((RD[[#This Row],[33 kV_F7_Ex
Incomer5]]-DY90)*1000&lt;0,0,(RD[[#This Row],[33 kV_F7_Ex
Incomer5]]-DY90)*1000)</f>
        <v>83000</v>
      </c>
      <c r="EQ91" s="140">
        <f>IF((RD[[#This Row],[33 kV_F7_Im
Incomer5]]-DZ90)*1000&lt;0,0,(RD[[#This Row],[33 kV_F7_Im
Incomer5]]-DZ90)*1000)</f>
        <v>500</v>
      </c>
      <c r="ER91" s="140">
        <f>IF((RD[[#This Row],[33 kV_Aux Trafo]]-EA90)*1000&lt;0,0,(RD[[#This Row],[33 kV_Aux Trafo]]-EA90)*1000)</f>
        <v>229.99999999998977</v>
      </c>
      <c r="ES91" s="152">
        <f>IF((RD[[#This Row],[33kV_OG1_Ex_]]-EB90)*1&lt;0,0,(RD[[#This Row],[33kV_OG1_Ex_]]-EB90)*1)</f>
        <v>331972</v>
      </c>
      <c r="ET91" s="140">
        <f>IF((RD[[#This Row],[33kV_OG1_Im]]-EC90)*1&lt;0,0,(RD[[#This Row],[33kV_OG1_Im]]-EC90)*1)</f>
        <v>2768</v>
      </c>
      <c r="EU91" s="140">
        <f>IF((RD[[#This Row],[132kV_TX1_EX]]-ED90)*720&lt;=0,"",(RD[[#This Row],[132kV_TX1_EX]]-ED90)*720)</f>
        <v>2880</v>
      </c>
      <c r="EV91" s="140">
        <f>IF((RD[[#This Row],[132 kV_Tx1_Im]]-EE90)*720&lt;=0,0,(RD[[#This Row],[132 kV_Tx1_Im]]-EE90)*720)</f>
        <v>238320</v>
      </c>
      <c r="EW91" s="140">
        <f>IF((RD[[#This Row],[132kV_L1_Ex]]-EF90)*720&lt;=0,0,(RD[[#This Row],[132kV_L1_Ex]]-EF90)*720)</f>
        <v>330984.00000000838</v>
      </c>
      <c r="EX91" s="140">
        <f>IF((RD[[#This Row],[132kV_L1_Im]]-EG90)*720&lt;=0,0,(RD[[#This Row],[132kV_L1_Im]]-EG90)*720)</f>
        <v>3168.0000000000655</v>
      </c>
      <c r="EY91" s="231">
        <f>IFERROR(RD[[#This Row],[33kV_OG1_Ex (MWh)]]+RD[[#This Row],[33kV_OG1_Im (MWh)]],"")</f>
        <v>334740</v>
      </c>
      <c r="EZ91" s="142">
        <f>RD[[#This Row],[33kV_OG1_Ex (MWh)]]-RD[[#This Row],[33kV_OG1_Im (MWh)]]</f>
        <v>329204</v>
      </c>
      <c r="FA91" s="142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32">
        <f>IFERROR((RD[[#This Row],[Sunset Time (POA&lt;20 W/m2)]]-RD[[#This Row],[Sunrise Time (POA&gt;20 W/m2)]])*24,0)</f>
        <v>12.583333333333334</v>
      </c>
      <c r="FD91" s="233">
        <v>122.7</v>
      </c>
      <c r="FE91" s="287" t="s">
        <v>297</v>
      </c>
      <c r="FG91" s="138" t="str">
        <f>IFERROR(RD[[#This Row],[E_AC (WPR)]]/RD[[#This Row],[E_DC (WPR)]],"")</f>
        <v/>
      </c>
    </row>
    <row r="92" spans="1:163">
      <c r="A92" s="130">
        <f t="shared" si="161"/>
        <v>45832</v>
      </c>
      <c r="B92" s="132">
        <f>YEAR(RD[[#This Row],[Date]])+IF(MONTH(RD[[#This Row],[Date]])&gt;=4,1,0)</f>
        <v>2026</v>
      </c>
      <c r="C92" s="132">
        <f>YEAR(RD[[#This Row],[Date]])</f>
        <v>2025</v>
      </c>
      <c r="D92" s="133">
        <f t="shared" si="165"/>
        <v>45809</v>
      </c>
      <c r="E92" s="132">
        <f>DAY(EOMONTH(RD[[#This Row],[Date]],0))</f>
        <v>30</v>
      </c>
      <c r="F92" s="146">
        <v>0.25833333333333336</v>
      </c>
      <c r="G92" s="156">
        <v>0.75277777777777777</v>
      </c>
      <c r="H92" s="121">
        <v>886.8</v>
      </c>
      <c r="I92" s="257">
        <v>899.6</v>
      </c>
      <c r="J92" s="121">
        <v>834.6</v>
      </c>
      <c r="K92" s="121">
        <v>816.3</v>
      </c>
      <c r="L92" s="121">
        <v>838.5</v>
      </c>
      <c r="M92" s="121">
        <v>861.7</v>
      </c>
      <c r="N92" s="121">
        <v>844.7</v>
      </c>
      <c r="O92" s="121">
        <v>943</v>
      </c>
      <c r="P92" s="121">
        <v>887.9</v>
      </c>
      <c r="Q92" s="121">
        <v>853.3</v>
      </c>
      <c r="R92" s="121">
        <v>891.5</v>
      </c>
      <c r="S92" s="255">
        <v>905.4</v>
      </c>
      <c r="T92" s="121">
        <v>945.6</v>
      </c>
      <c r="U92" s="121">
        <v>913</v>
      </c>
      <c r="V92" s="121">
        <v>920.7</v>
      </c>
      <c r="W92" s="121">
        <v>884.2</v>
      </c>
      <c r="X92" s="255">
        <v>1314.9</v>
      </c>
      <c r="Y92" s="192">
        <v>1512.9</v>
      </c>
      <c r="Z92" s="192">
        <v>1261</v>
      </c>
      <c r="AA92" s="192">
        <v>1325.7</v>
      </c>
      <c r="AB92" s="255">
        <v>1405.6</v>
      </c>
      <c r="AC92" s="192">
        <v>873.1</v>
      </c>
      <c r="AD92" s="192">
        <v>1347.8</v>
      </c>
      <c r="AE92" s="192">
        <v>1370.5</v>
      </c>
      <c r="AF92" s="255">
        <v>1336</v>
      </c>
      <c r="AG92" s="192">
        <v>1341</v>
      </c>
      <c r="AH92" s="192">
        <v>1322.1</v>
      </c>
      <c r="AI92" s="255">
        <v>1326.5</v>
      </c>
      <c r="AJ92" s="192">
        <v>1050.3</v>
      </c>
      <c r="AK92" s="255">
        <v>1083</v>
      </c>
      <c r="AL92" s="192">
        <v>1059.8</v>
      </c>
      <c r="AM92" s="255">
        <v>1072.0999999999999</v>
      </c>
      <c r="AN92" s="192">
        <v>1059.2</v>
      </c>
      <c r="AO92" s="255">
        <v>1098.5999999999999</v>
      </c>
      <c r="AP92" s="192">
        <v>1080.0999999999999</v>
      </c>
      <c r="AQ92" s="255">
        <v>1069.0999999999999</v>
      </c>
      <c r="AR92" s="192">
        <v>827.7</v>
      </c>
      <c r="AS92" s="255">
        <v>831.1</v>
      </c>
      <c r="AT92" s="192">
        <v>824.5</v>
      </c>
      <c r="AU92" s="255">
        <v>830.8</v>
      </c>
      <c r="AV92" s="192">
        <v>842.4</v>
      </c>
      <c r="AW92" s="192">
        <v>836</v>
      </c>
      <c r="AX92" s="192">
        <v>1223.0999999999999</v>
      </c>
      <c r="AY92" s="192">
        <v>1377.8</v>
      </c>
      <c r="AZ92" s="192">
        <v>992.2</v>
      </c>
      <c r="BA92" s="192">
        <v>1215.5</v>
      </c>
      <c r="BB92" s="192">
        <v>1392</v>
      </c>
      <c r="BC92" s="192">
        <v>1322</v>
      </c>
      <c r="BD92" s="192">
        <v>1180</v>
      </c>
      <c r="BE92" s="192">
        <v>1301</v>
      </c>
      <c r="BF92" s="192">
        <v>1418.4</v>
      </c>
      <c r="BG92" s="192">
        <v>1433.6</v>
      </c>
      <c r="BH92" s="192">
        <v>1421</v>
      </c>
      <c r="BI92" s="192">
        <v>1471</v>
      </c>
      <c r="BJ92" s="192">
        <v>923</v>
      </c>
      <c r="BK92" s="192">
        <v>708</v>
      </c>
      <c r="BL92" s="192">
        <v>868</v>
      </c>
      <c r="BM92" s="192">
        <v>860</v>
      </c>
      <c r="BN92" s="192">
        <v>975</v>
      </c>
      <c r="BO92" s="192">
        <v>895</v>
      </c>
      <c r="BP92" s="192">
        <v>1000.3</v>
      </c>
      <c r="BQ92" s="192">
        <v>1010</v>
      </c>
      <c r="BR92" s="192">
        <v>1098.5999999999999</v>
      </c>
      <c r="BS92" s="192">
        <v>1134.4000000000001</v>
      </c>
      <c r="BT92" s="192">
        <v>1090.5999999999999</v>
      </c>
      <c r="BU92" s="192">
        <v>1156.4000000000001</v>
      </c>
      <c r="BV92" s="192">
        <v>444.2</v>
      </c>
      <c r="BW92" s="192">
        <v>96.6</v>
      </c>
      <c r="BX92" s="192">
        <v>823.9</v>
      </c>
      <c r="BY92" s="192">
        <v>504.2</v>
      </c>
      <c r="BZ92" s="192">
        <v>114.4</v>
      </c>
      <c r="CA92" s="192">
        <v>92.5</v>
      </c>
      <c r="CB92" s="192">
        <v>564.5</v>
      </c>
      <c r="CC92" s="192">
        <v>967.4</v>
      </c>
      <c r="CD92" s="250">
        <v>1.7674343000000015</v>
      </c>
      <c r="CE92" s="250">
        <v>1.5297184166666646</v>
      </c>
      <c r="CF92" s="250">
        <v>1.365506200000002</v>
      </c>
      <c r="CG92" s="250">
        <v>1.5168872333333325</v>
      </c>
      <c r="CH92" s="250">
        <v>0.16999783333333307</v>
      </c>
      <c r="CI92" s="250">
        <v>0.23726168333333295</v>
      </c>
      <c r="CJ92" s="250">
        <v>0.25271666666666681</v>
      </c>
      <c r="CK92" s="250">
        <v>0.24675636666666614</v>
      </c>
      <c r="CL92" s="250">
        <v>26.669948905109489</v>
      </c>
      <c r="CM92" s="250">
        <v>25.823970802919689</v>
      </c>
      <c r="CN92" s="250">
        <v>34.336596350364914</v>
      </c>
      <c r="CO92" s="250">
        <v>31.129043795620461</v>
      </c>
      <c r="CP92" s="250">
        <v>85.991401459854089</v>
      </c>
      <c r="CQ92" s="250">
        <v>87.814846715328486</v>
      </c>
      <c r="CR92" s="250">
        <v>7.0072992700730141E-2</v>
      </c>
      <c r="CS92" s="250">
        <v>0.14890510948905092</v>
      </c>
      <c r="CT92" s="250">
        <v>1.0230503649635039</v>
      </c>
      <c r="CU92" s="250">
        <v>1.0937540145985403</v>
      </c>
      <c r="CV92" s="250">
        <v>3.3719999999999999</v>
      </c>
      <c r="CW92" s="250">
        <v>3.5880000000000001</v>
      </c>
      <c r="CX92" s="193">
        <f>IFERROR(AVERAGEIF(RD[[#This Row],[IS1POA1 (KWh/m2)]:[IS7POA2 (KWh/m2)]],"&lt;&gt;0",RD[[#This Row],[IS1POA1 (KWh/m2)]:[IS7POA2 (KWh/m2)]]),"")</f>
        <v>1.648576358333333</v>
      </c>
      <c r="CY92" s="193">
        <f>IFERROR(AVERAGEIF(RD[[#This Row],[IS1GHI1 (KWh/m2)]:[IS7GHI2 (KWh/m2)]],"&lt;&gt;0",RD[[#This Row],[IS1GHI1 (KWh/m2)]:[IS7GHI2 (KWh/m2)]]),"")</f>
        <v>1.4411967166666673</v>
      </c>
      <c r="CZ92" s="193">
        <f>IFERROR(AVERAGEIF(RD[[#This Row],[IS1POA_BS1 (KWh/m2)]:[IS7POA_BS2 (KWh/m2)]],"&lt;&gt;0",RD[[#This Row],[IS1POA_BS1 (KWh/m2)]:[IS7POA_BS2 (KWh/m2)]]),"")</f>
        <v>0.20362975833333302</v>
      </c>
      <c r="DA92" s="193">
        <f>IFERROR(AVERAGEIF(RD[[#This Row],[IS1GHI_BS1 (KWh/m2)]:[IS1GHI_BS1 (KWh/m2)2]],"&lt;&gt;0",RD[[#This Row],[IS1GHI_BS1 (KWh/m2)]:[IS1GHI_BS1 (KWh/m2)2]]),"")</f>
        <v>0.24973651666666646</v>
      </c>
      <c r="DB92" s="193">
        <f>IFERROR(AVERAGEIF(RD[[#This Row],[IS1AT1 (°C)]:[IS7AT2 (°C)]],"&lt;&gt;0",RD[[#This Row],[IS1AT1 (°C)]:[IS7AT2 (°C)]]),"")</f>
        <v>26.246959854014591</v>
      </c>
      <c r="DC92" s="193">
        <f>IFERROR(AVERAGEIF(RD[[#This Row],[IS1MT1 (°C)]:[IS7MT2 (°C)]],"&lt;&gt;0",RD[[#This Row],[IS1MT1 (°C)]:[IS7MT2 (°C)]]),"")</f>
        <v>32.732820072992688</v>
      </c>
      <c r="DD92" s="193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193">
        <f>IFERROR(AVERAGEIF(RD[[#This Row],[WS_Solar1_Avg (m/s)]:[IS7_WS_Solar1_Avg (m/s)]],"&lt;&gt;0",RD[[#This Row],[WS_Solar1_Avg (m/s)]:[IS7_WS_Solar1_Avg (m/s)]]),"")</f>
        <v>1.0584021897810221</v>
      </c>
      <c r="DG92" s="193">
        <f>IFERROR(AVERAGEIF(RD[[#This Row],[WS_Solar1_Max (m/s)]:[IS7_WS_Solar1_Max (m/s)]],"&lt;&gt;0",RD[[#This Row],[WS_Solar1_Max (m/s)]:[IS7_WS_Solar1_Max (m/s)]]),"")</f>
        <v>3.48</v>
      </c>
      <c r="DH92" s="193">
        <f>SUM(RD[[#This Row],[IS1Inv1M1]:[IS4Inv4M2]])</f>
        <v>29863.899999999998</v>
      </c>
      <c r="DI92" s="194">
        <f>SUM(RD[[#This Row],[IS7Inv1M1]]+RD[[#This Row],[IS7Inv2M1]])</f>
        <v>1658.8000000000002</v>
      </c>
      <c r="DJ92" s="193">
        <f>SUM(RD[[#This Row],[IS5Inv1M1]:[IS5Inv2M2]])</f>
        <v>4265.2000000000007</v>
      </c>
      <c r="DK92" s="193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75">
        <f>SUM(RD[[#This Row],[IS12Inv1M1]:[IS12Inv1M4]])</f>
        <v>3880.3</v>
      </c>
      <c r="DO92" s="275">
        <f>SUM(RD[[#This Row],[IS13Inv1M1]:[IS13Inv2M2]])</f>
        <v>4480</v>
      </c>
      <c r="DP92" s="193">
        <f>SUM(RD[[#This Row],[O2R15]:[O2R26]])</f>
        <v>74503.199999999997</v>
      </c>
      <c r="DQ92" s="158">
        <v>44309.2</v>
      </c>
      <c r="DR92" s="162">
        <v>224.1</v>
      </c>
      <c r="DS92" s="158">
        <v>38680.9</v>
      </c>
      <c r="DT92" s="158">
        <v>236.2</v>
      </c>
      <c r="DU92" s="162">
        <v>45558.9</v>
      </c>
      <c r="DV92" s="162">
        <v>432.1</v>
      </c>
      <c r="DW92" s="158">
        <v>10455.6</v>
      </c>
      <c r="DX92" s="162">
        <v>53.9</v>
      </c>
      <c r="DY92" s="162">
        <v>3064.5</v>
      </c>
      <c r="DZ92" s="162">
        <v>13.6</v>
      </c>
      <c r="EA92" s="134">
        <v>104.91</v>
      </c>
      <c r="EB92" s="230">
        <v>145915772</v>
      </c>
      <c r="EC92" s="229">
        <v>1027600.64</v>
      </c>
      <c r="ED92" s="230">
        <v>1234</v>
      </c>
      <c r="EE92" s="230">
        <v>140133</v>
      </c>
      <c r="EF92" s="158">
        <v>202312.9</v>
      </c>
      <c r="EG92" s="158">
        <v>1986.8</v>
      </c>
      <c r="EH92" s="140">
        <f>IF((RD[[#This Row],[33 kV_F3_Ex
Incomer1]]-DQ91)*1000&lt;0,0,(RD[[#This Row],[33 kV_F3_Ex
Incomer1]]-DQ91)*1000)</f>
        <v>15599.999999998545</v>
      </c>
      <c r="EI92" s="140">
        <f>IF((RD[[#This Row],[34 kV_F3_Im
Incomer1]]-DR91)*1000&lt;0,0,(RD[[#This Row],[34 kV_F3_Im
Incomer1]]-DR91)*1000)</f>
        <v>400.00000000000568</v>
      </c>
      <c r="EJ92" s="140">
        <f>IF((RD[[#This Row],[33 kV_F4_Ex
Incomer2]]-DS91)*1000&lt;0,0,(RD[[#This Row],[33 kV_F4_Ex
Incomer2]]-DS91)*1000)</f>
        <v>14000</v>
      </c>
      <c r="EK92" s="140">
        <f>IF((RD[[#This Row],[34 kV_F4_Im
Incomer2]]-DT91)*1000&lt;0,0,(RD[[#This Row],[34 kV_F4_Im
Incomer2]]-DT91)*1000)</f>
        <v>399.99999999997726</v>
      </c>
      <c r="EL92" s="140">
        <f>IF((RD[[#This Row],[33 kV_F5_Ex
Incomer3]]-DU91)*1000&lt;0,0,(RD[[#This Row],[33 kV_F5_Ex
Incomer3]]-DU91)*1000)</f>
        <v>18400.000000001455</v>
      </c>
      <c r="EM92" s="140">
        <f>IF((RD[[#This Row],[34 kV_F5_Im
Incomer3]]-DV91)*1000&lt;0,0,(RD[[#This Row],[34 kV_F5_Im
Incomer3]]-DV91)*1000)</f>
        <v>1500</v>
      </c>
      <c r="EN92" s="140">
        <f>IF((RD[[#This Row],[33 kV_F6_Ex
Incomer4]]-DW91)*1000&lt;0,0,(RD[[#This Row],[33 kV_F6_Ex
Incomer4]]-DW91)*1000)</f>
        <v>3800.0000000010914</v>
      </c>
      <c r="EO92" s="140">
        <f t="shared" si="166"/>
        <v>399.99999999997726</v>
      </c>
      <c r="EP92" s="140">
        <f>IF((RD[[#This Row],[33 kV_F7_Ex
Incomer5]]-DY91)*1000&lt;0,0,(RD[[#This Row],[33 kV_F7_Ex
Incomer5]]-DY91)*1000)</f>
        <v>19400.000000000091</v>
      </c>
      <c r="EQ92" s="140">
        <f>IF((RD[[#This Row],[33 kV_F7_Im
Incomer5]]-DZ91)*1000&lt;0,0,(RD[[#This Row],[33 kV_F7_Im
Incomer5]]-DZ91)*1000)</f>
        <v>900.00000000000034</v>
      </c>
      <c r="ER92" s="140">
        <f>IF((RD[[#This Row],[33 kV_Aux Trafo]]-EA91)*1000&lt;0,0,(RD[[#This Row],[33 kV_Aux Trafo]]-EA91)*1000)</f>
        <v>200.00000000000284</v>
      </c>
      <c r="ES92" s="152">
        <f>IF((RD[[#This Row],[33kV_OG1_Ex_]]-EB91)*1&lt;0,0,(RD[[#This Row],[33kV_OG1_Ex_]]-EB91)*1)</f>
        <v>74924</v>
      </c>
      <c r="ET92" s="140">
        <f>IF((RD[[#This Row],[33kV_OG1_Im]]-EC91)*1&lt;0,0,(RD[[#This Row],[33kV_OG1_Im]]-EC91)*1)</f>
        <v>4002.3680000000168</v>
      </c>
      <c r="EU92" s="140">
        <f>IF((RD[[#This Row],[132kV_TX1_EX]]-ED91)*720&lt;=0,"",(RD[[#This Row],[132kV_TX1_EX]]-ED91)*720)</f>
        <v>2880</v>
      </c>
      <c r="EV92" s="140">
        <f>IF((RD[[#This Row],[132 kV_Tx1_Im]]-EE91)*720&lt;=0,0,(RD[[#This Row],[132 kV_Tx1_Im]]-EE91)*720)</f>
        <v>53280</v>
      </c>
      <c r="EW92" s="140">
        <f>IF((RD[[#This Row],[132kV_L1_Ex]]-EF91)*720&lt;=0,0,(RD[[#This Row],[132kV_L1_Ex]]-EF91)*720)</f>
        <v>74663.999999987427</v>
      </c>
      <c r="EX92" s="140">
        <f>IF((RD[[#This Row],[132kV_L1_Im]]-EG91)*720&lt;=0,0,(RD[[#This Row],[132kV_L1_Im]]-EG91)*720)</f>
        <v>4607.9999999999018</v>
      </c>
      <c r="EY92" s="231">
        <f>IFERROR(RD[[#This Row],[33kV_OG1_Ex (MWh)]]+RD[[#This Row],[33kV_OG1_Im (MWh)]],"")</f>
        <v>78926.368000000017</v>
      </c>
      <c r="EZ92" s="142">
        <f>RD[[#This Row],[33kV_OG1_Ex (MWh)]]-RD[[#This Row],[33kV_OG1_Im (MWh)]]</f>
        <v>70921.631999999983</v>
      </c>
      <c r="FA92" s="142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32">
        <f>IFERROR((RD[[#This Row],[Sunset Time (POA&lt;20 W/m2)]]-RD[[#This Row],[Sunrise Time (POA&gt;20 W/m2)]])*24,0)</f>
        <v>11.866666666666665</v>
      </c>
      <c r="FD92" s="233">
        <v>125.2</v>
      </c>
      <c r="FE92" s="299" t="s">
        <v>1243</v>
      </c>
      <c r="FG92" s="138" t="str">
        <f>IFERROR(RD[[#This Row],[E_AC (WPR)]]/RD[[#This Row],[E_DC (WPR)]],"")</f>
        <v/>
      </c>
    </row>
    <row r="93" spans="1:163">
      <c r="A93" s="130">
        <f t="shared" si="161"/>
        <v>45833</v>
      </c>
      <c r="B93" s="132">
        <f>YEAR(RD[[#This Row],[Date]])+IF(MONTH(RD[[#This Row],[Date]])&gt;=4,1,0)</f>
        <v>2026</v>
      </c>
      <c r="C93" s="132">
        <f>YEAR(RD[[#This Row],[Date]])</f>
        <v>2025</v>
      </c>
      <c r="D93" s="133">
        <f t="shared" si="165"/>
        <v>45809</v>
      </c>
      <c r="E93" s="132">
        <f>DAY(EOMONTH(RD[[#This Row],[Date]],0))</f>
        <v>30</v>
      </c>
      <c r="F93" s="146">
        <v>0.27152777777777776</v>
      </c>
      <c r="G93" s="156">
        <v>0.78125</v>
      </c>
      <c r="H93" s="121">
        <v>4045.4</v>
      </c>
      <c r="I93" s="257">
        <v>4035.8</v>
      </c>
      <c r="J93" s="121">
        <v>3766.2</v>
      </c>
      <c r="K93" s="121">
        <v>3837</v>
      </c>
      <c r="L93" s="121">
        <v>3960.9</v>
      </c>
      <c r="M93" s="121">
        <v>4061.7</v>
      </c>
      <c r="N93" s="121">
        <v>3943.6</v>
      </c>
      <c r="O93" s="121">
        <v>4348.3999999999996</v>
      </c>
      <c r="P93" s="121">
        <v>4010.8</v>
      </c>
      <c r="Q93" s="121">
        <v>3928.2</v>
      </c>
      <c r="R93" s="121">
        <v>4048.2</v>
      </c>
      <c r="S93" s="255">
        <v>4061.7</v>
      </c>
      <c r="T93" s="121">
        <v>4232.5</v>
      </c>
      <c r="U93" s="121">
        <v>4063.5</v>
      </c>
      <c r="V93" s="121">
        <v>4139.7</v>
      </c>
      <c r="W93" s="121">
        <v>3941.9</v>
      </c>
      <c r="X93" s="255">
        <v>5589</v>
      </c>
      <c r="Y93" s="192">
        <v>6365.5</v>
      </c>
      <c r="Z93" s="192">
        <v>5424</v>
      </c>
      <c r="AA93" s="192">
        <v>5674.3</v>
      </c>
      <c r="AB93" s="255">
        <v>6143</v>
      </c>
      <c r="AC93" s="192">
        <v>3676.6</v>
      </c>
      <c r="AD93" s="192">
        <v>5649.8</v>
      </c>
      <c r="AE93" s="192">
        <v>5775.8</v>
      </c>
      <c r="AF93" s="255">
        <v>5593.7</v>
      </c>
      <c r="AG93" s="192">
        <v>5601.6</v>
      </c>
      <c r="AH93" s="192">
        <v>5581</v>
      </c>
      <c r="AI93" s="255">
        <v>5608.9</v>
      </c>
      <c r="AJ93" s="192">
        <v>4653.7</v>
      </c>
      <c r="AK93" s="255">
        <v>4826.1000000000004</v>
      </c>
      <c r="AL93" s="192">
        <v>4763.8999999999996</v>
      </c>
      <c r="AM93" s="255">
        <v>4827.8</v>
      </c>
      <c r="AN93" s="192">
        <v>4725.1000000000004</v>
      </c>
      <c r="AO93" s="255">
        <v>4901.1000000000004</v>
      </c>
      <c r="AP93" s="192">
        <v>4792.7</v>
      </c>
      <c r="AQ93" s="255">
        <v>4478.5</v>
      </c>
      <c r="AR93" s="192">
        <v>3804.5</v>
      </c>
      <c r="AS93" s="255">
        <v>3815.5</v>
      </c>
      <c r="AT93" s="192">
        <v>3802.3</v>
      </c>
      <c r="AU93" s="255">
        <v>3838</v>
      </c>
      <c r="AV93" s="192">
        <v>3881.4</v>
      </c>
      <c r="AW93" s="192">
        <v>3846.3</v>
      </c>
      <c r="AX93" s="192">
        <v>5421.6</v>
      </c>
      <c r="AY93" s="192">
        <v>6097</v>
      </c>
      <c r="AZ93" s="192">
        <v>4396.5</v>
      </c>
      <c r="BA93" s="192">
        <v>5363.5</v>
      </c>
      <c r="BB93" s="192">
        <v>5711.3</v>
      </c>
      <c r="BC93" s="192">
        <v>5392.9</v>
      </c>
      <c r="BD93" s="192">
        <v>4816.7</v>
      </c>
      <c r="BE93" s="192">
        <v>5333.3</v>
      </c>
      <c r="BF93" s="192">
        <v>5842</v>
      </c>
      <c r="BG93" s="192">
        <v>5943.4</v>
      </c>
      <c r="BH93" s="192">
        <v>5898.2</v>
      </c>
      <c r="BI93" s="192">
        <v>6102</v>
      </c>
      <c r="BJ93" s="192">
        <v>3954.7</v>
      </c>
      <c r="BK93" s="192">
        <v>3056.3</v>
      </c>
      <c r="BL93" s="192">
        <v>3739.1</v>
      </c>
      <c r="BM93" s="192">
        <v>3710.2</v>
      </c>
      <c r="BN93" s="192">
        <v>3989.9</v>
      </c>
      <c r="BO93" s="192">
        <v>3863.2</v>
      </c>
      <c r="BP93" s="192">
        <v>4297.8</v>
      </c>
      <c r="BQ93" s="192">
        <v>4330</v>
      </c>
      <c r="BR93" s="192">
        <v>4701.8</v>
      </c>
      <c r="BS93" s="192">
        <v>4867</v>
      </c>
      <c r="BT93" s="192">
        <v>4657</v>
      </c>
      <c r="BU93" s="192">
        <v>4941.5</v>
      </c>
      <c r="BV93" s="192">
        <v>2047.1</v>
      </c>
      <c r="BW93" s="192">
        <v>517.5</v>
      </c>
      <c r="BX93" s="192">
        <v>3619.8</v>
      </c>
      <c r="BY93" s="192">
        <v>2265.1</v>
      </c>
      <c r="BZ93" s="192">
        <v>606.5</v>
      </c>
      <c r="CA93" s="192">
        <v>503.8</v>
      </c>
      <c r="CB93" s="192">
        <v>2535.1999999999998</v>
      </c>
      <c r="CC93" s="192">
        <v>4229.2</v>
      </c>
      <c r="CD93" s="250">
        <v>3.2844382666666685</v>
      </c>
      <c r="CE93" s="250">
        <v>2.8657386833333325</v>
      </c>
      <c r="CF93" s="250">
        <v>2.5581634499999968</v>
      </c>
      <c r="CG93" s="250">
        <v>2.8766823833333364</v>
      </c>
      <c r="CH93" s="250">
        <v>0.31596271666666675</v>
      </c>
      <c r="CI93" s="250">
        <v>0.43690793333333394</v>
      </c>
      <c r="CJ93" s="250">
        <v>0.4712964000000005</v>
      </c>
      <c r="CK93" s="250">
        <v>0.45445846666666667</v>
      </c>
      <c r="CL93" s="250">
        <v>27.623710546574326</v>
      </c>
      <c r="CM93" s="250">
        <v>26.790669745958443</v>
      </c>
      <c r="CN93" s="250">
        <v>37.018765204003024</v>
      </c>
      <c r="CO93" s="250">
        <v>34.452007698229359</v>
      </c>
      <c r="CP93" s="250">
        <v>85.641031562740594</v>
      </c>
      <c r="CQ93" s="250">
        <v>86.731054657428857</v>
      </c>
      <c r="CR93" s="250">
        <v>0.49391839876828314</v>
      </c>
      <c r="CS93" s="250">
        <v>7.051578137028483E-2</v>
      </c>
      <c r="CT93" s="250">
        <v>0.98478290993071638</v>
      </c>
      <c r="CU93" s="250">
        <v>1.0380808314087762</v>
      </c>
      <c r="CV93" s="250">
        <v>2.9790000000000001</v>
      </c>
      <c r="CW93" s="250">
        <v>3.24</v>
      </c>
      <c r="CX93" s="193">
        <f>IFERROR(AVERAGEIF(RD[[#This Row],[IS1POA1 (KWh/m2)]:[IS7POA2 (KWh/m2)]],"&lt;&gt;0",RD[[#This Row],[IS1POA1 (KWh/m2)]:[IS7POA2 (KWh/m2)]]),"")</f>
        <v>3.0750884750000003</v>
      </c>
      <c r="CY93" s="193">
        <f>IFERROR(AVERAGEIF(RD[[#This Row],[IS1GHI1 (KWh/m2)]:[IS7GHI2 (KWh/m2)]],"&lt;&gt;0",RD[[#This Row],[IS1GHI1 (KWh/m2)]:[IS7GHI2 (KWh/m2)]]),"")</f>
        <v>2.7174229166666666</v>
      </c>
      <c r="CZ93" s="193">
        <f>IFERROR(AVERAGEIF(RD[[#This Row],[IS1POA_BS1 (KWh/m2)]:[IS7POA_BS2 (KWh/m2)]],"&lt;&gt;0",RD[[#This Row],[IS1POA_BS1 (KWh/m2)]:[IS7POA_BS2 (KWh/m2)]]),"")</f>
        <v>0.37643532500000032</v>
      </c>
      <c r="DA93" s="193">
        <f>IFERROR(AVERAGEIF(RD[[#This Row],[IS1GHI_BS1 (KWh/m2)]:[IS1GHI_BS1 (KWh/m2)2]],"&lt;&gt;0",RD[[#This Row],[IS1GHI_BS1 (KWh/m2)]:[IS1GHI_BS1 (KWh/m2)2]]),"")</f>
        <v>0.46287743333333359</v>
      </c>
      <c r="DB93" s="193">
        <f>IFERROR(AVERAGEIF(RD[[#This Row],[IS1AT1 (°C)]:[IS7AT2 (°C)]],"&lt;&gt;0",RD[[#This Row],[IS1AT1 (°C)]:[IS7AT2 (°C)]]),"")</f>
        <v>27.207190146266385</v>
      </c>
      <c r="DC93" s="193">
        <f>IFERROR(AVERAGEIF(RD[[#This Row],[IS1MT1 (°C)]:[IS7MT2 (°C)]],"&lt;&gt;0",RD[[#This Row],[IS1MT1 (°C)]:[IS7MT2 (°C)]]),"")</f>
        <v>35.735386451116192</v>
      </c>
      <c r="DD93" s="193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193">
        <f>IFERROR(AVERAGEIF(RD[[#This Row],[WS_Solar1_Avg (m/s)]:[IS7_WS_Solar1_Avg (m/s)]],"&lt;&gt;0",RD[[#This Row],[WS_Solar1_Avg (m/s)]:[IS7_WS_Solar1_Avg (m/s)]]),"")</f>
        <v>1.0114318706697463</v>
      </c>
      <c r="DG93" s="193">
        <f>IFERROR(AVERAGEIF(RD[[#This Row],[WS_Solar1_Max (m/s)]:[IS7_WS_Solar1_Max (m/s)]],"&lt;&gt;0",RD[[#This Row],[WS_Solar1_Max (m/s)]:[IS7_WS_Solar1_Max (m/s)]]),"")</f>
        <v>3.1095000000000002</v>
      </c>
      <c r="DH93" s="193">
        <f>SUM(RD[[#This Row],[IS1Inv1M1]:[IS4Inv4M2]])</f>
        <v>131108.70000000001</v>
      </c>
      <c r="DI93" s="194">
        <f>SUM(RD[[#This Row],[IS7Inv1M1]]+RD[[#This Row],[IS7Inv2M1]])</f>
        <v>7620</v>
      </c>
      <c r="DJ93" s="193">
        <f>SUM(RD[[#This Row],[IS5Inv1M1]:[IS5Inv2M2]])</f>
        <v>19071.5</v>
      </c>
      <c r="DK93" s="193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75">
        <f>SUM(RD[[#This Row],[IS12Inv1M1]:[IS12Inv1M4]])</f>
        <v>16480.900000000001</v>
      </c>
      <c r="DO93" s="275">
        <f>SUM(RD[[#This Row],[IS13Inv1M1]:[IS13Inv2M2]])</f>
        <v>19167.3</v>
      </c>
      <c r="DP93" s="193">
        <f>SUM(RD[[#This Row],[O2R15]:[O2R26]])</f>
        <v>324816.7</v>
      </c>
      <c r="DQ93" s="158">
        <v>44375.5</v>
      </c>
      <c r="DR93" s="162">
        <v>224.3</v>
      </c>
      <c r="DS93" s="158">
        <v>38742.5</v>
      </c>
      <c r="DT93" s="158">
        <v>236.5</v>
      </c>
      <c r="DU93" s="162">
        <v>45640.9</v>
      </c>
      <c r="DV93" s="162">
        <v>433.1</v>
      </c>
      <c r="DW93" s="158">
        <v>10472.200000000001</v>
      </c>
      <c r="DX93" s="162">
        <v>54.1</v>
      </c>
      <c r="DY93" s="162">
        <v>3145.8</v>
      </c>
      <c r="DZ93" s="162">
        <v>14.1</v>
      </c>
      <c r="EA93" s="134">
        <v>105.13</v>
      </c>
      <c r="EB93" s="230">
        <v>146239373</v>
      </c>
      <c r="EC93" s="229">
        <v>1029907.7120000001</v>
      </c>
      <c r="ED93" s="230">
        <v>1237</v>
      </c>
      <c r="EE93" s="230">
        <v>140456</v>
      </c>
      <c r="EF93" s="158">
        <v>202760.9</v>
      </c>
      <c r="EG93" s="158">
        <v>1990.6</v>
      </c>
      <c r="EH93" s="140">
        <f>IF((RD[[#This Row],[33 kV_F3_Ex
Incomer1]]-DQ92)*1000&lt;0,0,(RD[[#This Row],[33 kV_F3_Ex
Incomer1]]-DQ92)*1000)</f>
        <v>66300.00000000291</v>
      </c>
      <c r="EI93" s="140">
        <f>IF((RD[[#This Row],[34 kV_F3_Im
Incomer1]]-DR92)*1000&lt;0,0,(RD[[#This Row],[34 kV_F3_Im
Incomer1]]-DR92)*1000)</f>
        <v>200.00000000001705</v>
      </c>
      <c r="EJ93" s="140">
        <f>IF((RD[[#This Row],[33 kV_F4_Ex
Incomer2]]-DS92)*1000&lt;0,0,(RD[[#This Row],[33 kV_F4_Ex
Incomer2]]-DS92)*1000)</f>
        <v>61599.999999998545</v>
      </c>
      <c r="EK93" s="140">
        <f>IF((RD[[#This Row],[34 kV_F4_Im
Incomer2]]-DT92)*1000&lt;0,0,(RD[[#This Row],[34 kV_F4_Im
Incomer2]]-DT92)*1000)</f>
        <v>300.00000000001137</v>
      </c>
      <c r="EL93" s="140">
        <f>IF((RD[[#This Row],[33 kV_F5_Ex
Incomer3]]-DU92)*1000&lt;0,0,(RD[[#This Row],[33 kV_F5_Ex
Incomer3]]-DU92)*1000)</f>
        <v>82000</v>
      </c>
      <c r="EM93" s="140">
        <f>IF((RD[[#This Row],[34 kV_F5_Im
Incomer3]]-DV92)*1000&lt;0,0,(RD[[#This Row],[34 kV_F5_Im
Incomer3]]-DV92)*1000)</f>
        <v>1000</v>
      </c>
      <c r="EN93" s="140">
        <f>IF((RD[[#This Row],[33 kV_F6_Ex
Incomer4]]-DW92)*1000&lt;0,0,(RD[[#This Row],[33 kV_F6_Ex
Incomer4]]-DW92)*1000)</f>
        <v>16600.000000000364</v>
      </c>
      <c r="EO93" s="140">
        <f t="shared" si="166"/>
        <v>300.00000000001137</v>
      </c>
      <c r="EP93" s="140">
        <f>IF((RD[[#This Row],[33 kV_F7_Ex
Incomer5]]-DY92)*1000&lt;0,0,(RD[[#This Row],[33 kV_F7_Ex
Incomer5]]-DY92)*1000)</f>
        <v>81300.000000000175</v>
      </c>
      <c r="EQ93" s="140">
        <f>IF((RD[[#This Row],[33 kV_F7_Im
Incomer5]]-DZ92)*1000&lt;0,0,(RD[[#This Row],[33 kV_F7_Im
Incomer5]]-DZ92)*1000)</f>
        <v>500</v>
      </c>
      <c r="ER93" s="140">
        <f>IF((RD[[#This Row],[33 kV_Aux Trafo]]-EA92)*1000&lt;0,0,(RD[[#This Row],[33 kV_Aux Trafo]]-EA92)*1000)</f>
        <v>219.99999999999886</v>
      </c>
      <c r="ES93" s="152">
        <f>IF((RD[[#This Row],[33kV_OG1_Ex_]]-EB92)*1&lt;0,0,(RD[[#This Row],[33kV_OG1_Ex_]]-EB92)*1)</f>
        <v>323601</v>
      </c>
      <c r="ET93" s="140">
        <f>IF((RD[[#This Row],[33kV_OG1_Im]]-EC92)*1&lt;0,0,(RD[[#This Row],[33kV_OG1_Im]]-EC92)*1)</f>
        <v>2307.0720000000438</v>
      </c>
      <c r="EU93" s="140">
        <f>IF((RD[[#This Row],[132kV_TX1_EX]]-ED92)*720&lt;=0,"",(RD[[#This Row],[132kV_TX1_EX]]-ED92)*720)</f>
        <v>2160</v>
      </c>
      <c r="EV93" s="140">
        <f>IF((RD[[#This Row],[132 kV_Tx1_Im]]-EE92)*720&lt;=0,0,(RD[[#This Row],[132 kV_Tx1_Im]]-EE92)*720)</f>
        <v>232560</v>
      </c>
      <c r="EW93" s="140">
        <f>IF((RD[[#This Row],[132kV_L1_Ex]]-EF92)*720&lt;=0,0,(RD[[#This Row],[132kV_L1_Ex]]-EF92)*720)</f>
        <v>322560</v>
      </c>
      <c r="EX93" s="140">
        <f>IF((RD[[#This Row],[132kV_L1_Im]]-EG92)*720&lt;=0,0,(RD[[#This Row],[132kV_L1_Im]]-EG92)*720)</f>
        <v>2735.9999999999673</v>
      </c>
      <c r="EY93" s="231">
        <f>IFERROR(RD[[#This Row],[33kV_OG1_Ex (MWh)]]+RD[[#This Row],[33kV_OG1_Im (MWh)]],"")</f>
        <v>325908.07200000004</v>
      </c>
      <c r="EZ93" s="142">
        <f>RD[[#This Row],[33kV_OG1_Ex (MWh)]]-RD[[#This Row],[33kV_OG1_Im (MWh)]]</f>
        <v>321293.92799999996</v>
      </c>
      <c r="FA93" s="142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32">
        <f>IFERROR((RD[[#This Row],[Sunset Time (POA&lt;20 W/m2)]]-RD[[#This Row],[Sunrise Time (POA&gt;20 W/m2)]])*24,0)</f>
        <v>12.233333333333333</v>
      </c>
      <c r="FD93" s="233">
        <v>126.3</v>
      </c>
      <c r="FE93" s="287" t="s">
        <v>300</v>
      </c>
      <c r="FG93" s="138" t="str">
        <f>IFERROR(RD[[#This Row],[E_AC (WPR)]]/RD[[#This Row],[E_DC (WPR)]],"")</f>
        <v/>
      </c>
    </row>
    <row r="94" spans="1:163">
      <c r="A94" s="130">
        <f t="shared" si="161"/>
        <v>45834</v>
      </c>
      <c r="B94" s="132">
        <f>YEAR(RD[[#This Row],[Date]])+IF(MONTH(RD[[#This Row],[Date]])&gt;=4,1,0)</f>
        <v>2026</v>
      </c>
      <c r="C94" s="132">
        <f>YEAR(RD[[#This Row],[Date]])</f>
        <v>2025</v>
      </c>
      <c r="D94" s="133">
        <f t="shared" si="165"/>
        <v>45809</v>
      </c>
      <c r="E94" s="132">
        <f>DAY(EOMONTH(RD[[#This Row],[Date]],0))</f>
        <v>30</v>
      </c>
      <c r="F94" s="146">
        <v>0.26944444444444443</v>
      </c>
      <c r="G94" s="156">
        <v>0.77013888888888893</v>
      </c>
      <c r="H94" s="121">
        <v>2018.4</v>
      </c>
      <c r="I94" s="257">
        <v>2017.1</v>
      </c>
      <c r="J94" s="121">
        <v>1873.8</v>
      </c>
      <c r="K94" s="121">
        <v>1879</v>
      </c>
      <c r="L94" s="121">
        <v>1950.3</v>
      </c>
      <c r="M94" s="121">
        <v>2011.9</v>
      </c>
      <c r="N94" s="121">
        <v>1940.5</v>
      </c>
      <c r="O94" s="121">
        <v>2176.5</v>
      </c>
      <c r="P94" s="121">
        <v>1981.1</v>
      </c>
      <c r="Q94" s="121">
        <v>1927</v>
      </c>
      <c r="R94" s="121">
        <v>1978.1</v>
      </c>
      <c r="S94" s="255">
        <v>1991.1</v>
      </c>
      <c r="T94" s="121">
        <v>2086.8000000000002</v>
      </c>
      <c r="U94" s="121">
        <v>1985.3</v>
      </c>
      <c r="V94" s="121">
        <v>2044.2</v>
      </c>
      <c r="W94" s="121">
        <v>1954.2</v>
      </c>
      <c r="X94" s="255">
        <v>2832.7</v>
      </c>
      <c r="Y94" s="192">
        <v>3226.5</v>
      </c>
      <c r="Z94" s="192">
        <v>2776.3</v>
      </c>
      <c r="AA94" s="192">
        <v>2911</v>
      </c>
      <c r="AB94" s="255">
        <v>2925.6</v>
      </c>
      <c r="AC94" s="192">
        <v>1810.5</v>
      </c>
      <c r="AD94" s="192">
        <v>2816.8</v>
      </c>
      <c r="AE94" s="192">
        <v>2890.9</v>
      </c>
      <c r="AF94" s="255">
        <v>2812.4</v>
      </c>
      <c r="AG94" s="192">
        <v>2821.8</v>
      </c>
      <c r="AH94" s="192">
        <v>2825.4</v>
      </c>
      <c r="AI94" s="255">
        <v>2817.5</v>
      </c>
      <c r="AJ94" s="192">
        <v>2322.8000000000002</v>
      </c>
      <c r="AK94" s="255">
        <v>2410.6</v>
      </c>
      <c r="AL94" s="192">
        <v>2375.1</v>
      </c>
      <c r="AM94" s="255">
        <v>2417.4</v>
      </c>
      <c r="AN94" s="192">
        <v>2367.8000000000002</v>
      </c>
      <c r="AO94" s="255">
        <v>2464.5</v>
      </c>
      <c r="AP94" s="192">
        <v>2418.5</v>
      </c>
      <c r="AQ94" s="255">
        <v>2278.1999999999998</v>
      </c>
      <c r="AR94" s="192">
        <v>1862.4</v>
      </c>
      <c r="AS94" s="255">
        <v>1879.6</v>
      </c>
      <c r="AT94" s="192">
        <v>1838.1</v>
      </c>
      <c r="AU94" s="255">
        <v>1860.2</v>
      </c>
      <c r="AV94" s="192">
        <v>1889.7</v>
      </c>
      <c r="AW94" s="192">
        <v>1885.1</v>
      </c>
      <c r="AX94" s="192">
        <v>2745.6</v>
      </c>
      <c r="AY94" s="192">
        <v>3118.7</v>
      </c>
      <c r="AZ94" s="192">
        <v>2261.5</v>
      </c>
      <c r="BA94" s="192">
        <v>2788.3</v>
      </c>
      <c r="BB94" s="192">
        <v>2780.7</v>
      </c>
      <c r="BC94" s="192">
        <v>2661.2</v>
      </c>
      <c r="BD94" s="192">
        <v>2380.6</v>
      </c>
      <c r="BE94" s="192">
        <v>2607.8000000000002</v>
      </c>
      <c r="BF94" s="192">
        <v>2849.1</v>
      </c>
      <c r="BG94" s="192">
        <v>2874.1</v>
      </c>
      <c r="BH94" s="192">
        <v>2837</v>
      </c>
      <c r="BI94" s="192">
        <v>2932.8</v>
      </c>
      <c r="BJ94" s="192">
        <v>1798.7</v>
      </c>
      <c r="BK94" s="192">
        <v>1365</v>
      </c>
      <c r="BL94" s="192">
        <v>1670.2</v>
      </c>
      <c r="BM94" s="192">
        <v>1624</v>
      </c>
      <c r="BN94" s="192">
        <v>1896.2</v>
      </c>
      <c r="BO94" s="192">
        <v>1727.9</v>
      </c>
      <c r="BP94" s="192">
        <v>1934.5</v>
      </c>
      <c r="BQ94" s="192">
        <v>1964.5</v>
      </c>
      <c r="BR94" s="192">
        <v>2103.6</v>
      </c>
      <c r="BS94" s="192">
        <v>2188.4</v>
      </c>
      <c r="BT94" s="192">
        <v>2119.8000000000002</v>
      </c>
      <c r="BU94" s="192">
        <v>2227</v>
      </c>
      <c r="BV94" s="192">
        <v>143.4</v>
      </c>
      <c r="BW94" s="192">
        <v>0</v>
      </c>
      <c r="BX94" s="192">
        <v>686</v>
      </c>
      <c r="BY94" s="192">
        <v>411.4</v>
      </c>
      <c r="BZ94" s="192">
        <v>187.6</v>
      </c>
      <c r="CA94" s="192">
        <v>145.1</v>
      </c>
      <c r="CB94" s="192">
        <v>1030.9000000000001</v>
      </c>
      <c r="CC94" s="192">
        <v>1805.6</v>
      </c>
      <c r="CD94" s="250">
        <v>1.6408988833333336</v>
      </c>
      <c r="CE94" s="250">
        <v>1.4069652333333347</v>
      </c>
      <c r="CF94" s="250">
        <v>1.2418128000000008</v>
      </c>
      <c r="CG94" s="250">
        <v>1.4013690833333357</v>
      </c>
      <c r="CH94" s="250">
        <v>0.23493710000000004</v>
      </c>
      <c r="CI94" s="250">
        <v>0.18796373333333344</v>
      </c>
      <c r="CJ94" s="250">
        <v>0.21083859999999996</v>
      </c>
      <c r="CK94" s="250">
        <v>0.19320528333333317</v>
      </c>
      <c r="CL94" s="250">
        <v>26.37811980033279</v>
      </c>
      <c r="CM94" s="250">
        <v>24.888868552412692</v>
      </c>
      <c r="CN94" s="250">
        <v>32.53650499168053</v>
      </c>
      <c r="CO94" s="250">
        <v>30.000811980033308</v>
      </c>
      <c r="CP94" s="250">
        <v>97.983527454243017</v>
      </c>
      <c r="CQ94" s="250">
        <v>96.544658901830232</v>
      </c>
      <c r="CR94" s="250">
        <v>0.97645590682195982</v>
      </c>
      <c r="CS94" s="250">
        <v>0.93555740432612522</v>
      </c>
      <c r="CT94" s="250">
        <v>1.0141547420965069</v>
      </c>
      <c r="CU94" s="250">
        <v>1.1400299500831959</v>
      </c>
      <c r="CV94" s="250">
        <v>2.6819999999999999</v>
      </c>
      <c r="CW94" s="250">
        <v>3.3540000000000001</v>
      </c>
      <c r="CX94" s="193">
        <f>IFERROR(AVERAGEIF(RD[[#This Row],[IS1POA1 (KWh/m2)]:[IS7POA2 (KWh/m2)]],"&lt;&gt;0",RD[[#This Row],[IS1POA1 (KWh/m2)]:[IS7POA2 (KWh/m2)]]),"")</f>
        <v>1.523932058333334</v>
      </c>
      <c r="CY94" s="193">
        <f>IFERROR(AVERAGEIF(RD[[#This Row],[IS1GHI1 (KWh/m2)]:[IS7GHI2 (KWh/m2)]],"&lt;&gt;0",RD[[#This Row],[IS1GHI1 (KWh/m2)]:[IS7GHI2 (KWh/m2)]]),"")</f>
        <v>1.3215909416666682</v>
      </c>
      <c r="CZ94" s="193">
        <f>IFERROR(AVERAGEIF(RD[[#This Row],[IS1POA_BS1 (KWh/m2)]:[IS7POA_BS2 (KWh/m2)]],"&lt;&gt;0",RD[[#This Row],[IS1POA_BS1 (KWh/m2)]:[IS7POA_BS2 (KWh/m2)]]),"")</f>
        <v>0.21145041666666675</v>
      </c>
      <c r="DA94" s="193">
        <f>IFERROR(AVERAGEIF(RD[[#This Row],[IS1GHI_BS1 (KWh/m2)]:[IS1GHI_BS1 (KWh/m2)2]],"&lt;&gt;0",RD[[#This Row],[IS1GHI_BS1 (KWh/m2)]:[IS1GHI_BS1 (KWh/m2)2]]),"")</f>
        <v>0.20202194166666657</v>
      </c>
      <c r="DB94" s="193">
        <f>IFERROR(AVERAGEIF(RD[[#This Row],[IS1AT1 (°C)]:[IS7AT2 (°C)]],"&lt;&gt;0",RD[[#This Row],[IS1AT1 (°C)]:[IS7AT2 (°C)]]),"")</f>
        <v>25.633494176372743</v>
      </c>
      <c r="DC94" s="193">
        <f>IFERROR(AVERAGEIF(RD[[#This Row],[IS1MT1 (°C)]:[IS7MT2 (°C)]],"&lt;&gt;0",RD[[#This Row],[IS1MT1 (°C)]:[IS7MT2 (°C)]]),"")</f>
        <v>31.268658485856918</v>
      </c>
      <c r="DD94" s="193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193">
        <f>IFERROR(AVERAGEIF(RD[[#This Row],[WS_Solar1_Avg (m/s)]:[IS7_WS_Solar1_Avg (m/s)]],"&lt;&gt;0",RD[[#This Row],[WS_Solar1_Avg (m/s)]:[IS7_WS_Solar1_Avg (m/s)]]),"")</f>
        <v>1.0770923460898514</v>
      </c>
      <c r="DG94" s="193">
        <f>IFERROR(AVERAGEIF(RD[[#This Row],[WS_Solar1_Max (m/s)]:[IS7_WS_Solar1_Max (m/s)]],"&lt;&gt;0",RD[[#This Row],[WS_Solar1_Max (m/s)]:[IS7_WS_Solar1_Max (m/s)]]),"")</f>
        <v>3.0179999999999998</v>
      </c>
      <c r="DH94" s="193">
        <f>SUM(RD[[#This Row],[IS1Inv1M1]:[IS4Inv4M2]])</f>
        <v>65282.700000000004</v>
      </c>
      <c r="DI94" s="194">
        <f>SUM(RD[[#This Row],[IS7Inv1M1]]+RD[[#This Row],[IS7Inv2M1]])</f>
        <v>3742</v>
      </c>
      <c r="DJ94" s="193">
        <f>SUM(RD[[#This Row],[IS5Inv1M1]:[IS5Inv2M2]])</f>
        <v>9525.9</v>
      </c>
      <c r="DK94" s="193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75">
        <f>SUM(RD[[#This Row],[IS12Inv1M1]:[IS12Inv1M4]])</f>
        <v>7523.1</v>
      </c>
      <c r="DO94" s="275">
        <f>SUM(RD[[#This Row],[IS13Inv1M1]:[IS13Inv2M2]])</f>
        <v>8638.7999999999993</v>
      </c>
      <c r="DP94" s="193">
        <f>SUM(RD[[#This Row],[O2R15]:[O2R26]])</f>
        <v>155419.9</v>
      </c>
      <c r="DQ94" s="158">
        <v>44408.800000000003</v>
      </c>
      <c r="DR94" s="162">
        <v>224.8</v>
      </c>
      <c r="DS94" s="158">
        <v>38773.9</v>
      </c>
      <c r="DT94" s="158">
        <v>236.9</v>
      </c>
      <c r="DU94" s="162">
        <v>45682.3</v>
      </c>
      <c r="DV94" s="162">
        <v>434.6</v>
      </c>
      <c r="DW94" s="158">
        <v>10477</v>
      </c>
      <c r="DX94" s="162">
        <v>54.3</v>
      </c>
      <c r="DY94" s="162">
        <v>3184.7</v>
      </c>
      <c r="DZ94" s="162">
        <v>14.9</v>
      </c>
      <c r="EA94" s="134">
        <v>105.38</v>
      </c>
      <c r="EB94" s="230">
        <v>146396053</v>
      </c>
      <c r="EC94" s="229">
        <v>1033591.1679999999</v>
      </c>
      <c r="ED94" s="230">
        <v>1241</v>
      </c>
      <c r="EE94" s="230">
        <v>140612</v>
      </c>
      <c r="EF94" s="158">
        <v>202977.9</v>
      </c>
      <c r="EG94" s="158">
        <v>1996.5</v>
      </c>
      <c r="EH94" s="140">
        <f>IF((RD[[#This Row],[33 kV_F3_Ex
Incomer1]]-DQ93)*1000&lt;0,0,(RD[[#This Row],[33 kV_F3_Ex
Incomer1]]-DQ93)*1000)</f>
        <v>33300.00000000291</v>
      </c>
      <c r="EI94" s="140">
        <f>IF((RD[[#This Row],[34 kV_F3_Im
Incomer1]]-DR93)*1000&lt;0,0,(RD[[#This Row],[34 kV_F3_Im
Incomer1]]-DR93)*1000)</f>
        <v>500</v>
      </c>
      <c r="EJ94" s="140">
        <f>IF((RD[[#This Row],[33 kV_F4_Ex
Incomer2]]-DS93)*1000&lt;0,0,(RD[[#This Row],[33 kV_F4_Ex
Incomer2]]-DS93)*1000)</f>
        <v>31400.000000001455</v>
      </c>
      <c r="EK94" s="140">
        <f>IF((RD[[#This Row],[34 kV_F4_Im
Incomer2]]-DT93)*1000&lt;0,0,(RD[[#This Row],[34 kV_F4_Im
Incomer2]]-DT93)*1000)</f>
        <v>400.00000000000568</v>
      </c>
      <c r="EL94" s="140">
        <f>IF((RD[[#This Row],[33 kV_F5_Ex
Incomer3]]-DU93)*1000&lt;0,0,(RD[[#This Row],[33 kV_F5_Ex
Incomer3]]-DU93)*1000)</f>
        <v>41400.000000001455</v>
      </c>
      <c r="EM94" s="140">
        <f>IF((RD[[#This Row],[34 kV_F5_Im
Incomer3]]-DV93)*1000&lt;0,0,(RD[[#This Row],[34 kV_F5_Im
Incomer3]]-DV93)*1000)</f>
        <v>1500</v>
      </c>
      <c r="EN94" s="140">
        <f>IF((RD[[#This Row],[33 kV_F6_Ex
Incomer4]]-DW93)*1000&lt;0,0,(RD[[#This Row],[33 kV_F6_Ex
Incomer4]]-DW93)*1000)</f>
        <v>4799.9999999992724</v>
      </c>
      <c r="EO94" s="140">
        <f t="shared" si="166"/>
        <v>300.00000000001137</v>
      </c>
      <c r="EP94" s="140">
        <f>IF((RD[[#This Row],[33 kV_F7_Ex
Incomer5]]-DY93)*1000&lt;0,0,(RD[[#This Row],[33 kV_F7_Ex
Incomer5]]-DY93)*1000)</f>
        <v>38899.999999999636</v>
      </c>
      <c r="EQ94" s="140">
        <f>IF((RD[[#This Row],[33 kV_F7_Im
Incomer5]]-DZ93)*1000&lt;0,0,(RD[[#This Row],[33 kV_F7_Im
Incomer5]]-DZ93)*1000)</f>
        <v>800.00000000000068</v>
      </c>
      <c r="ER94" s="140">
        <f>IF((RD[[#This Row],[33 kV_Aux Trafo]]-EA93)*1000&lt;0,0,(RD[[#This Row],[33 kV_Aux Trafo]]-EA93)*1000)</f>
        <v>250</v>
      </c>
      <c r="ES94" s="152">
        <f>IF((RD[[#This Row],[33kV_OG1_Ex_]]-EB93)*1&lt;0,0,(RD[[#This Row],[33kV_OG1_Ex_]]-EB93)*1)</f>
        <v>156680</v>
      </c>
      <c r="ET94" s="140">
        <f>IF((RD[[#This Row],[33kV_OG1_Im]]-EC93)*1&lt;0,0,(RD[[#This Row],[33kV_OG1_Im]]-EC93)*1)</f>
        <v>3683.4559999998892</v>
      </c>
      <c r="EU94" s="140">
        <f>IF((RD[[#This Row],[132kV_TX1_EX]]-ED93)*720&lt;=0,"",(RD[[#This Row],[132kV_TX1_EX]]-ED93)*720)</f>
        <v>2880</v>
      </c>
      <c r="EV94" s="140">
        <f>IF((RD[[#This Row],[132 kV_Tx1_Im]]-EE93)*720&lt;=0,0,(RD[[#This Row],[132 kV_Tx1_Im]]-EE93)*720)</f>
        <v>112320</v>
      </c>
      <c r="EW94" s="140">
        <f>IF((RD[[#This Row],[132kV_L1_Ex]]-EF93)*720&lt;=0,0,(RD[[#This Row],[132kV_L1_Ex]]-EF93)*720)</f>
        <v>156240</v>
      </c>
      <c r="EX94" s="140">
        <f>IF((RD[[#This Row],[132kV_L1_Im]]-EG93)*720&lt;=0,0,(RD[[#This Row],[132kV_L1_Im]]-EG93)*720)</f>
        <v>4248.0000000000655</v>
      </c>
      <c r="EY94" s="231">
        <f>IFERROR(RD[[#This Row],[33kV_OG1_Ex (MWh)]]+RD[[#This Row],[33kV_OG1_Im (MWh)]],"")</f>
        <v>160363.45599999989</v>
      </c>
      <c r="EZ94" s="142">
        <f>RD[[#This Row],[33kV_OG1_Ex (MWh)]]-RD[[#This Row],[33kV_OG1_Im (MWh)]]</f>
        <v>152996.54400000011</v>
      </c>
      <c r="FA94" s="142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32">
        <f>IFERROR((RD[[#This Row],[Sunset Time (POA&lt;20 W/m2)]]-RD[[#This Row],[Sunrise Time (POA&gt;20 W/m2)]])*24,0)</f>
        <v>12.016666666666669</v>
      </c>
      <c r="FD94" s="233">
        <v>126.3</v>
      </c>
      <c r="FE94" s="299" t="s">
        <v>1244</v>
      </c>
      <c r="FG94" s="138" t="str">
        <f>IFERROR(RD[[#This Row],[E_AC (WPR)]]/RD[[#This Row],[E_DC (WPR)]],"")</f>
        <v/>
      </c>
    </row>
    <row r="95" spans="1:163">
      <c r="A95" s="130">
        <f t="shared" si="161"/>
        <v>45835</v>
      </c>
      <c r="B95" s="132">
        <f>YEAR(RD[[#This Row],[Date]])+IF(MONTH(RD[[#This Row],[Date]])&gt;=4,1,0)</f>
        <v>2026</v>
      </c>
      <c r="C95" s="132">
        <f>YEAR(RD[[#This Row],[Date]])</f>
        <v>2025</v>
      </c>
      <c r="D95" s="133">
        <f t="shared" si="165"/>
        <v>45809</v>
      </c>
      <c r="E95" s="132">
        <f>DAY(EOMONTH(RD[[#This Row],[Date]],0))</f>
        <v>30</v>
      </c>
      <c r="F95" s="146">
        <v>0.26458333333333334</v>
      </c>
      <c r="G95" s="156">
        <v>0.77500000000000002</v>
      </c>
      <c r="H95" s="121">
        <v>6292.2</v>
      </c>
      <c r="I95" s="257">
        <v>6273</v>
      </c>
      <c r="J95" s="121">
        <v>5854.4</v>
      </c>
      <c r="K95" s="121">
        <v>5839</v>
      </c>
      <c r="L95" s="121">
        <v>6022.5</v>
      </c>
      <c r="M95" s="121">
        <v>6196.5</v>
      </c>
      <c r="N95" s="121">
        <v>6041.2</v>
      </c>
      <c r="O95" s="121">
        <v>6677.6</v>
      </c>
      <c r="P95" s="121">
        <v>6290.6</v>
      </c>
      <c r="Q95" s="121">
        <v>6031.9</v>
      </c>
      <c r="R95" s="121">
        <v>6210.6</v>
      </c>
      <c r="S95" s="255">
        <v>6252.8</v>
      </c>
      <c r="T95" s="121">
        <v>6614.6</v>
      </c>
      <c r="U95" s="121">
        <v>6286.3</v>
      </c>
      <c r="V95" s="121">
        <v>6416.9</v>
      </c>
      <c r="W95" s="121">
        <v>6172.9</v>
      </c>
      <c r="X95" s="255">
        <v>8543.4</v>
      </c>
      <c r="Y95" s="192">
        <v>9590.6</v>
      </c>
      <c r="Z95" s="192">
        <v>8408</v>
      </c>
      <c r="AA95" s="192">
        <v>8794.5</v>
      </c>
      <c r="AB95" s="255">
        <v>9406.9</v>
      </c>
      <c r="AC95" s="192">
        <v>5708.1</v>
      </c>
      <c r="AD95" s="192">
        <v>8635.9</v>
      </c>
      <c r="AE95" s="192">
        <v>8986.2000000000007</v>
      </c>
      <c r="AF95" s="255">
        <v>8667.5</v>
      </c>
      <c r="AG95" s="192">
        <v>8614</v>
      </c>
      <c r="AH95" s="192">
        <v>8715.2999999999993</v>
      </c>
      <c r="AI95" s="255">
        <v>8701.2000000000007</v>
      </c>
      <c r="AJ95" s="192">
        <v>7142.5</v>
      </c>
      <c r="AK95" s="255">
        <v>7432</v>
      </c>
      <c r="AL95" s="192">
        <v>7280</v>
      </c>
      <c r="AM95" s="255">
        <v>7343.5</v>
      </c>
      <c r="AN95" s="192">
        <v>7296.4</v>
      </c>
      <c r="AO95" s="255">
        <v>7552.6</v>
      </c>
      <c r="AP95" s="192">
        <v>7432.5</v>
      </c>
      <c r="AQ95" s="255">
        <v>7091</v>
      </c>
      <c r="AR95" s="192">
        <v>5919.8</v>
      </c>
      <c r="AS95" s="255">
        <v>5966.9</v>
      </c>
      <c r="AT95" s="192">
        <v>5862.6</v>
      </c>
      <c r="AU95" s="255">
        <v>5862.1</v>
      </c>
      <c r="AV95" s="192">
        <v>5990.8</v>
      </c>
      <c r="AW95" s="192">
        <v>5975.6</v>
      </c>
      <c r="AX95" s="192">
        <v>8367.5</v>
      </c>
      <c r="AY95" s="192">
        <v>9450.6</v>
      </c>
      <c r="AZ95" s="192">
        <v>6950.2</v>
      </c>
      <c r="BA95" s="192">
        <v>8416.5</v>
      </c>
      <c r="BB95" s="192">
        <v>7812.4</v>
      </c>
      <c r="BC95" s="192">
        <v>7526.4</v>
      </c>
      <c r="BD95" s="192">
        <v>7293.6</v>
      </c>
      <c r="BE95" s="192">
        <v>8017.3</v>
      </c>
      <c r="BF95" s="192">
        <v>8763.7999999999993</v>
      </c>
      <c r="BG95" s="192">
        <v>8855.6</v>
      </c>
      <c r="BH95" s="192">
        <v>8823.6</v>
      </c>
      <c r="BI95" s="192">
        <v>9082.7999999999993</v>
      </c>
      <c r="BJ95" s="192">
        <v>5979.9</v>
      </c>
      <c r="BK95" s="192">
        <v>4634.5</v>
      </c>
      <c r="BL95" s="192">
        <v>5595.5</v>
      </c>
      <c r="BM95" s="192">
        <v>5504</v>
      </c>
      <c r="BN95" s="192">
        <v>6248</v>
      </c>
      <c r="BO95" s="192">
        <v>5839.9</v>
      </c>
      <c r="BP95" s="192">
        <v>6416.2</v>
      </c>
      <c r="BQ95" s="192">
        <v>6435</v>
      </c>
      <c r="BR95" s="192">
        <v>7001.8</v>
      </c>
      <c r="BS95" s="192">
        <v>7085</v>
      </c>
      <c r="BT95" s="192">
        <v>7009.3</v>
      </c>
      <c r="BU95" s="192">
        <v>7382.5</v>
      </c>
      <c r="BV95" s="192">
        <v>3927.2</v>
      </c>
      <c r="BW95" s="192">
        <v>662.2</v>
      </c>
      <c r="BX95" s="192">
        <v>5102.6000000000004</v>
      </c>
      <c r="BY95" s="192">
        <v>3746.4</v>
      </c>
      <c r="BZ95" s="192">
        <v>908</v>
      </c>
      <c r="CA95" s="192">
        <v>768.8</v>
      </c>
      <c r="CB95" s="192">
        <v>3536.8</v>
      </c>
      <c r="CC95" s="192">
        <v>5749.8</v>
      </c>
      <c r="CD95" s="250">
        <v>5.0552452999999984</v>
      </c>
      <c r="CE95" s="250">
        <v>4.6346939833333378</v>
      </c>
      <c r="CF95" s="250">
        <v>4.0644446833333312</v>
      </c>
      <c r="CG95" s="250">
        <v>4.7614176999999964</v>
      </c>
      <c r="CH95" s="250">
        <v>0.45745241666666703</v>
      </c>
      <c r="CI95" s="250">
        <v>0.66512773333333342</v>
      </c>
      <c r="CJ95" s="250">
        <v>0.72989271666666666</v>
      </c>
      <c r="CK95" s="250">
        <v>0.66841501666666736</v>
      </c>
      <c r="CL95" s="250">
        <v>27.865228215767665</v>
      </c>
      <c r="CM95" s="250">
        <v>27.682655601659828</v>
      </c>
      <c r="CN95" s="250">
        <v>40.458698755186717</v>
      </c>
      <c r="CO95" s="250">
        <v>37.965505394190856</v>
      </c>
      <c r="CP95" s="250">
        <v>81.912489626555868</v>
      </c>
      <c r="CQ95" s="250">
        <v>81.962531120331931</v>
      </c>
      <c r="CR95" s="250">
        <v>1.7012448132780075E-2</v>
      </c>
      <c r="CS95" s="250">
        <v>2.431535269709539E-2</v>
      </c>
      <c r="CT95" s="250">
        <v>1.1851120331950196</v>
      </c>
      <c r="CU95" s="250">
        <v>1.2166033195020756</v>
      </c>
      <c r="CV95" s="250">
        <v>3.0630000000000002</v>
      </c>
      <c r="CW95" s="250">
        <v>3.39</v>
      </c>
      <c r="CX95" s="193">
        <f>IFERROR(AVERAGEIF(RD[[#This Row],[IS1POA1 (KWh/m2)]:[IS7POA2 (KWh/m2)]],"&lt;&gt;0",RD[[#This Row],[IS1POA1 (KWh/m2)]:[IS7POA2 (KWh/m2)]]),"")</f>
        <v>4.8449696416666681</v>
      </c>
      <c r="CY95" s="193">
        <f>IFERROR(AVERAGEIF(RD[[#This Row],[IS1GHI1 (KWh/m2)]:[IS7GHI2 (KWh/m2)]],"&lt;&gt;0",RD[[#This Row],[IS1GHI1 (KWh/m2)]:[IS7GHI2 (KWh/m2)]]),"")</f>
        <v>4.4129311916666634</v>
      </c>
      <c r="CZ95" s="193">
        <f>IFERROR(AVERAGEIF(RD[[#This Row],[IS1POA_BS1 (KWh/m2)]:[IS7POA_BS2 (KWh/m2)]],"&lt;&gt;0",RD[[#This Row],[IS1POA_BS1 (KWh/m2)]:[IS7POA_BS2 (KWh/m2)]]),"")</f>
        <v>0.56129007500000028</v>
      </c>
      <c r="DA95" s="193">
        <f>IFERROR(AVERAGEIF(RD[[#This Row],[IS1GHI_BS1 (KWh/m2)]:[IS1GHI_BS1 (KWh/m2)2]],"&lt;&gt;0",RD[[#This Row],[IS1GHI_BS1 (KWh/m2)]:[IS1GHI_BS1 (KWh/m2)2]]),"")</f>
        <v>0.69915386666666701</v>
      </c>
      <c r="DB95" s="193">
        <f>IFERROR(AVERAGEIF(RD[[#This Row],[IS1AT1 (°C)]:[IS7AT2 (°C)]],"&lt;&gt;0",RD[[#This Row],[IS1AT1 (°C)]:[IS7AT2 (°C)]]),"")</f>
        <v>27.773941908713745</v>
      </c>
      <c r="DC95" s="193">
        <f>IFERROR(AVERAGEIF(RD[[#This Row],[IS1MT1 (°C)]:[IS7MT2 (°C)]],"&lt;&gt;0",RD[[#This Row],[IS1MT1 (°C)]:[IS7MT2 (°C)]]),"")</f>
        <v>39.212102074688787</v>
      </c>
      <c r="DD95" s="193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193">
        <f>IFERROR(AVERAGEIF(RD[[#This Row],[WS_Solar1_Avg (m/s)]:[IS7_WS_Solar1_Avg (m/s)]],"&lt;&gt;0",RD[[#This Row],[WS_Solar1_Avg (m/s)]:[IS7_WS_Solar1_Avg (m/s)]]),"")</f>
        <v>1.2008576763485475</v>
      </c>
      <c r="DG95" s="193">
        <f>IFERROR(AVERAGEIF(RD[[#This Row],[WS_Solar1_Max (m/s)]:[IS7_WS_Solar1_Max (m/s)]],"&lt;&gt;0",RD[[#This Row],[WS_Solar1_Max (m/s)]:[IS7_WS_Solar1_Max (m/s)]]),"")</f>
        <v>3.2265000000000001</v>
      </c>
      <c r="DH95" s="193">
        <f>SUM(RD[[#This Row],[IS1Inv1M1]:[IS4Inv4M2]])</f>
        <v>202244.6</v>
      </c>
      <c r="DI95" s="194">
        <f>SUM(RD[[#This Row],[IS7Inv1M1]]+RD[[#This Row],[IS7Inv2M1]])</f>
        <v>11886.7</v>
      </c>
      <c r="DJ95" s="193">
        <f>SUM(RD[[#This Row],[IS5Inv1M1]:[IS5Inv2M2]])</f>
        <v>29198</v>
      </c>
      <c r="DK95" s="193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75">
        <f>SUM(RD[[#This Row],[IS12Inv1M1]:[IS12Inv1M4]])</f>
        <v>24939.1</v>
      </c>
      <c r="DO95" s="275">
        <f>SUM(RD[[#This Row],[IS13Inv1M1]:[IS13Inv2M2]])</f>
        <v>28478.6</v>
      </c>
      <c r="DP95" s="193">
        <f>SUM(RD[[#This Row],[O2R15]:[O2R26]])</f>
        <v>495286.6</v>
      </c>
      <c r="DQ95" s="158">
        <v>44510.9</v>
      </c>
      <c r="DR95" s="162">
        <v>225.1</v>
      </c>
      <c r="DS95" s="158">
        <v>38868</v>
      </c>
      <c r="DT95" s="158">
        <v>237.2</v>
      </c>
      <c r="DU95" s="162">
        <v>45808.5</v>
      </c>
      <c r="DV95" s="162">
        <v>435.8</v>
      </c>
      <c r="DW95" s="158">
        <v>10501.2</v>
      </c>
      <c r="DX95" s="162">
        <v>54.5</v>
      </c>
      <c r="DY95" s="162">
        <v>3305</v>
      </c>
      <c r="DZ95" s="162">
        <v>15.5</v>
      </c>
      <c r="EA95" s="134">
        <v>105.62</v>
      </c>
      <c r="EB95" s="230">
        <v>146885623</v>
      </c>
      <c r="EC95" s="229">
        <v>1036561.536</v>
      </c>
      <c r="ED95" s="230">
        <v>1245</v>
      </c>
      <c r="EE95" s="230">
        <v>141099</v>
      </c>
      <c r="EF95" s="158">
        <v>203655.3</v>
      </c>
      <c r="EG95" s="158">
        <v>2001.4</v>
      </c>
      <c r="EH95" s="140">
        <f>IF((RD[[#This Row],[33 kV_F3_Ex
Incomer1]]-DQ94)*1000&lt;0,0,(RD[[#This Row],[33 kV_F3_Ex
Incomer1]]-DQ94)*1000)</f>
        <v>102099.99999999854</v>
      </c>
      <c r="EI95" s="140">
        <f>IF((RD[[#This Row],[34 kV_F3_Im
Incomer1]]-DR94)*1000&lt;0,0,(RD[[#This Row],[34 kV_F3_Im
Incomer1]]-DR94)*1000)</f>
        <v>299.99999999998295</v>
      </c>
      <c r="EJ95" s="140">
        <f>IF((RD[[#This Row],[33 kV_F4_Ex
Incomer2]]-DS94)*1000&lt;0,0,(RD[[#This Row],[33 kV_F4_Ex
Incomer2]]-DS94)*1000)</f>
        <v>94099.999999998545</v>
      </c>
      <c r="EK95" s="140">
        <f>IF((RD[[#This Row],[34 kV_F4_Im
Incomer2]]-DT94)*1000&lt;0,0,(RD[[#This Row],[34 kV_F4_Im
Incomer2]]-DT94)*1000)</f>
        <v>299.99999999998295</v>
      </c>
      <c r="EL95" s="140">
        <f>IF((RD[[#This Row],[33 kV_F5_Ex
Incomer3]]-DU94)*1000&lt;0,0,(RD[[#This Row],[33 kV_F5_Ex
Incomer3]]-DU94)*1000)</f>
        <v>126199.99999999709</v>
      </c>
      <c r="EM95" s="140">
        <f>IF((RD[[#This Row],[34 kV_F5_Im
Incomer3]]-DV94)*1000&lt;0,0,(RD[[#This Row],[34 kV_F5_Im
Incomer3]]-DV94)*1000)</f>
        <v>1199.9999999999886</v>
      </c>
      <c r="EN95" s="140">
        <f>IF((RD[[#This Row],[33 kV_F6_Ex
Incomer4]]-DW94)*1000&lt;0,0,(RD[[#This Row],[33 kV_F6_Ex
Incomer4]]-DW94)*1000)</f>
        <v>24200.000000000728</v>
      </c>
      <c r="EO95" s="140">
        <f t="shared" si="166"/>
        <v>399.99999999997726</v>
      </c>
      <c r="EP95" s="140">
        <f>IF((RD[[#This Row],[33 kV_F7_Ex
Incomer5]]-DY94)*1000&lt;0,0,(RD[[#This Row],[33 kV_F7_Ex
Incomer5]]-DY94)*1000)</f>
        <v>120300.00000000017</v>
      </c>
      <c r="EQ95" s="140">
        <f>IF((RD[[#This Row],[33 kV_F7_Im
Incomer5]]-DZ94)*1000&lt;0,0,(RD[[#This Row],[33 kV_F7_Im
Incomer5]]-DZ94)*1000)</f>
        <v>599.99999999999966</v>
      </c>
      <c r="ER95" s="140">
        <f>IF((RD[[#This Row],[33 kV_Aux Trafo]]-EA94)*1000&lt;0,0,(RD[[#This Row],[33 kV_Aux Trafo]]-EA94)*1000)</f>
        <v>240.00000000000909</v>
      </c>
      <c r="ES95" s="152">
        <f>IF((RD[[#This Row],[33kV_OG1_Ex_]]-EB94)*1&lt;0,0,(RD[[#This Row],[33kV_OG1_Ex_]]-EB94)*1)</f>
        <v>489570</v>
      </c>
      <c r="ET95" s="140">
        <f>IF((RD[[#This Row],[33kV_OG1_Im]]-EC94)*1&lt;0,0,(RD[[#This Row],[33kV_OG1_Im]]-EC94)*1)</f>
        <v>2970.3680000000168</v>
      </c>
      <c r="EU95" s="140">
        <f>IF((RD[[#This Row],[132kV_TX1_EX]]-ED94)*720&lt;=0,"",(RD[[#This Row],[132kV_TX1_EX]]-ED94)*720)</f>
        <v>2880</v>
      </c>
      <c r="EV95" s="140">
        <f>IF((RD[[#This Row],[132 kV_Tx1_Im]]-EE94)*720&lt;=0,0,(RD[[#This Row],[132 kV_Tx1_Im]]-EE94)*720)</f>
        <v>350640</v>
      </c>
      <c r="EW95" s="140">
        <f>IF((RD[[#This Row],[132kV_L1_Ex]]-EF94)*720&lt;=0,0,(RD[[#This Row],[132kV_L1_Ex]]-EF94)*720)</f>
        <v>487727.99999999581</v>
      </c>
      <c r="EX95" s="140">
        <f>IF((RD[[#This Row],[132kV_L1_Im]]-EG94)*720&lt;=0,0,(RD[[#This Row],[132kV_L1_Im]]-EG94)*720)</f>
        <v>3528.0000000000655</v>
      </c>
      <c r="EY95" s="231">
        <f>IFERROR(RD[[#This Row],[33kV_OG1_Ex (MWh)]]+RD[[#This Row],[33kV_OG1_Im (MWh)]],"")</f>
        <v>492540.36800000002</v>
      </c>
      <c r="EZ95" s="142">
        <f>RD[[#This Row],[33kV_OG1_Ex (MWh)]]-RD[[#This Row],[33kV_OG1_Im (MWh)]]</f>
        <v>486599.63199999998</v>
      </c>
      <c r="FA95" s="142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32">
        <f>IFERROR((RD[[#This Row],[Sunset Time (POA&lt;20 W/m2)]]-RD[[#This Row],[Sunrise Time (POA&gt;20 W/m2)]])*24,0)</f>
        <v>12.250000000000002</v>
      </c>
      <c r="FD95" s="233">
        <v>126.3</v>
      </c>
      <c r="FE95" s="287" t="s">
        <v>297</v>
      </c>
      <c r="FG95" s="138" t="str">
        <f>IFERROR(RD[[#This Row],[E_AC (WPR)]]/RD[[#This Row],[E_DC (WPR)]],"")</f>
        <v/>
      </c>
    </row>
    <row r="96" spans="1:163">
      <c r="A96" s="130">
        <f t="shared" si="161"/>
        <v>45836</v>
      </c>
      <c r="B96" s="132">
        <f>YEAR(RD[[#This Row],[Date]])+IF(MONTH(RD[[#This Row],[Date]])&gt;=4,1,0)</f>
        <v>2026</v>
      </c>
      <c r="C96" s="132">
        <f>YEAR(RD[[#This Row],[Date]])</f>
        <v>2025</v>
      </c>
      <c r="D96" s="133">
        <f t="shared" si="165"/>
        <v>45809</v>
      </c>
      <c r="E96" s="132">
        <f>DAY(EOMONTH(RD[[#This Row],[Date]],0))</f>
        <v>30</v>
      </c>
      <c r="F96" s="146">
        <v>0.25763888888888886</v>
      </c>
      <c r="G96" s="156">
        <v>0.75</v>
      </c>
      <c r="H96" s="121">
        <v>5832</v>
      </c>
      <c r="I96" s="257">
        <v>5862.6</v>
      </c>
      <c r="J96" s="121">
        <v>5501.9</v>
      </c>
      <c r="K96" s="121">
        <v>5414</v>
      </c>
      <c r="L96" s="121">
        <v>5581.7</v>
      </c>
      <c r="M96" s="121">
        <v>5780.5</v>
      </c>
      <c r="N96" s="121">
        <v>5642.9</v>
      </c>
      <c r="O96" s="121">
        <v>6202.6</v>
      </c>
      <c r="P96" s="121">
        <v>5725.4</v>
      </c>
      <c r="Q96" s="121">
        <v>5577.3</v>
      </c>
      <c r="R96" s="121">
        <v>5775.2</v>
      </c>
      <c r="S96" s="255">
        <v>5848.8</v>
      </c>
      <c r="T96" s="121">
        <v>6078.5</v>
      </c>
      <c r="U96" s="121">
        <v>5806</v>
      </c>
      <c r="V96" s="121">
        <v>5935.7</v>
      </c>
      <c r="W96" s="121">
        <v>5705.8</v>
      </c>
      <c r="X96" s="255">
        <v>8131</v>
      </c>
      <c r="Y96" s="192">
        <v>8968</v>
      </c>
      <c r="Z96" s="192">
        <v>7832.5</v>
      </c>
      <c r="AA96" s="192">
        <v>8202.7999999999993</v>
      </c>
      <c r="AB96" s="255">
        <v>8737.7000000000007</v>
      </c>
      <c r="AC96" s="192">
        <v>5407.7</v>
      </c>
      <c r="AD96" s="192">
        <v>8065.9</v>
      </c>
      <c r="AE96" s="192">
        <v>8214.2000000000007</v>
      </c>
      <c r="AF96" s="255">
        <v>8140</v>
      </c>
      <c r="AG96" s="192">
        <v>8188.4</v>
      </c>
      <c r="AH96" s="192">
        <v>8023.8</v>
      </c>
      <c r="AI96" s="255">
        <v>7994.2</v>
      </c>
      <c r="AJ96" s="192">
        <v>6548.2</v>
      </c>
      <c r="AK96" s="255">
        <v>6729.8</v>
      </c>
      <c r="AL96" s="192">
        <v>6550.8</v>
      </c>
      <c r="AM96" s="255">
        <v>6648.2</v>
      </c>
      <c r="AN96" s="192">
        <v>6541.3</v>
      </c>
      <c r="AO96" s="255">
        <v>6692.3</v>
      </c>
      <c r="AP96" s="192">
        <v>6631</v>
      </c>
      <c r="AQ96" s="255">
        <v>6310.9</v>
      </c>
      <c r="AR96" s="192">
        <v>5206.8</v>
      </c>
      <c r="AS96" s="255">
        <v>5249.7</v>
      </c>
      <c r="AT96" s="192">
        <v>5171.6000000000004</v>
      </c>
      <c r="AU96" s="255">
        <v>5229.8</v>
      </c>
      <c r="AV96" s="192">
        <v>5295.6</v>
      </c>
      <c r="AW96" s="192">
        <v>5250</v>
      </c>
      <c r="AX96" s="192">
        <v>7537.4</v>
      </c>
      <c r="AY96" s="192">
        <v>8402.4</v>
      </c>
      <c r="AZ96" s="192">
        <v>6219.6</v>
      </c>
      <c r="BA96" s="192">
        <v>7491.9</v>
      </c>
      <c r="BB96" s="192">
        <v>7467.3</v>
      </c>
      <c r="BC96" s="192">
        <v>7192.2</v>
      </c>
      <c r="BD96" s="192">
        <v>7105.1</v>
      </c>
      <c r="BE96" s="192">
        <v>7790.7</v>
      </c>
      <c r="BF96" s="192">
        <v>8458.2000000000007</v>
      </c>
      <c r="BG96" s="192">
        <v>8485.4</v>
      </c>
      <c r="BH96" s="192">
        <v>8265.7000000000007</v>
      </c>
      <c r="BI96" s="192">
        <v>8605.2000000000007</v>
      </c>
      <c r="BJ96" s="192">
        <v>5709</v>
      </c>
      <c r="BK96" s="192">
        <v>4594.5</v>
      </c>
      <c r="BL96" s="192">
        <v>5321.3</v>
      </c>
      <c r="BM96" s="192">
        <v>5235.3</v>
      </c>
      <c r="BN96" s="192">
        <v>5789.1</v>
      </c>
      <c r="BO96" s="192">
        <v>5451.8</v>
      </c>
      <c r="BP96" s="192">
        <v>5892.7</v>
      </c>
      <c r="BQ96" s="192">
        <v>6019.6</v>
      </c>
      <c r="BR96" s="192">
        <v>6437</v>
      </c>
      <c r="BS96" s="192">
        <v>6607</v>
      </c>
      <c r="BT96" s="192">
        <v>6424.9</v>
      </c>
      <c r="BU96" s="192">
        <v>6750.9</v>
      </c>
      <c r="BV96" s="192">
        <v>4155.6000000000004</v>
      </c>
      <c r="BW96" s="192">
        <v>1365.3</v>
      </c>
      <c r="BX96" s="192">
        <v>4626.1000000000004</v>
      </c>
      <c r="BY96" s="192">
        <v>3766.2</v>
      </c>
      <c r="BZ96" s="192">
        <v>766</v>
      </c>
      <c r="CA96" s="192">
        <v>175.6</v>
      </c>
      <c r="CB96" s="192">
        <v>5183.1000000000004</v>
      </c>
      <c r="CC96" s="192">
        <v>5627.6</v>
      </c>
      <c r="CD96" s="250">
        <v>4.8369012333333314</v>
      </c>
      <c r="CE96" s="250">
        <v>4.1130222333333357</v>
      </c>
      <c r="CF96" s="250">
        <v>3.9196503166666719</v>
      </c>
      <c r="CG96" s="250">
        <v>4.2744353999999989</v>
      </c>
      <c r="CH96" s="250">
        <v>0.54350565000000028</v>
      </c>
      <c r="CI96" s="250">
        <v>0.51695403333333345</v>
      </c>
      <c r="CJ96" s="250">
        <v>0.72768260000000062</v>
      </c>
      <c r="CK96" s="250">
        <v>0.58868384999999934</v>
      </c>
      <c r="CL96" s="250">
        <v>27.598441226575783</v>
      </c>
      <c r="CM96" s="250">
        <v>27.873594548551967</v>
      </c>
      <c r="CN96" s="250">
        <v>39.33215417376492</v>
      </c>
      <c r="CO96" s="250">
        <v>36.528782793867066</v>
      </c>
      <c r="CP96" s="250">
        <v>75.845170357751286</v>
      </c>
      <c r="CQ96" s="250">
        <v>73.926533219761509</v>
      </c>
      <c r="CR96" s="250">
        <v>5.6337308347529834E-2</v>
      </c>
      <c r="CS96" s="250">
        <v>0</v>
      </c>
      <c r="CT96" s="250">
        <v>1.2848151618398649</v>
      </c>
      <c r="CU96" s="250">
        <v>1.4181720613287907</v>
      </c>
      <c r="CV96" s="250">
        <v>3.1680000000000001</v>
      </c>
      <c r="CW96" s="250">
        <v>3.66</v>
      </c>
      <c r="CX96" s="193">
        <f>IFERROR(AVERAGEIF(RD[[#This Row],[IS1POA1 (KWh/m2)]:[IS7POA2 (KWh/m2)]],"&lt;&gt;0",RD[[#This Row],[IS1POA1 (KWh/m2)]:[IS7POA2 (KWh/m2)]]),"")</f>
        <v>4.474961733333334</v>
      </c>
      <c r="CY96" s="193">
        <f>IFERROR(AVERAGEIF(RD[[#This Row],[IS1GHI1 (KWh/m2)]:[IS7GHI2 (KWh/m2)]],"&lt;&gt;0",RD[[#This Row],[IS1GHI1 (KWh/m2)]:[IS7GHI2 (KWh/m2)]]),"")</f>
        <v>4.0970428583333351</v>
      </c>
      <c r="CZ96" s="193">
        <f>IFERROR(AVERAGEIF(RD[[#This Row],[IS1POA_BS1 (KWh/m2)]:[IS7POA_BS2 (KWh/m2)]],"&lt;&gt;0",RD[[#This Row],[IS1POA_BS1 (KWh/m2)]:[IS7POA_BS2 (KWh/m2)]]),"")</f>
        <v>0.53022984166666687</v>
      </c>
      <c r="DA96" s="193">
        <f>IFERROR(AVERAGEIF(RD[[#This Row],[IS1GHI_BS1 (KWh/m2)]:[IS1GHI_BS1 (KWh/m2)2]],"&lt;&gt;0",RD[[#This Row],[IS1GHI_BS1 (KWh/m2)]:[IS1GHI_BS1 (KWh/m2)2]]),"")</f>
        <v>0.65818322499999993</v>
      </c>
      <c r="DB96" s="193">
        <f>IFERROR(AVERAGEIF(RD[[#This Row],[IS1AT1 (°C)]:[IS7AT2 (°C)]],"&lt;&gt;0",RD[[#This Row],[IS1AT1 (°C)]:[IS7AT2 (°C)]]),"")</f>
        <v>27.736017887563875</v>
      </c>
      <c r="DC96" s="193">
        <f>IFERROR(AVERAGEIF(RD[[#This Row],[IS1MT1 (°C)]:[IS7MT2 (°C)]],"&lt;&gt;0",RD[[#This Row],[IS1MT1 (°C)]:[IS7MT2 (°C)]]),"")</f>
        <v>37.930468483815993</v>
      </c>
      <c r="DD96" s="193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193">
        <f>IFERROR(AVERAGEIF(RD[[#This Row],[WS_Solar1_Avg (m/s)]:[IS7_WS_Solar1_Avg (m/s)]],"&lt;&gt;0",RD[[#This Row],[WS_Solar1_Avg (m/s)]:[IS7_WS_Solar1_Avg (m/s)]]),"")</f>
        <v>1.3514936115843277</v>
      </c>
      <c r="DG96" s="193">
        <f>IFERROR(AVERAGEIF(RD[[#This Row],[WS_Solar1_Max (m/s)]:[IS7_WS_Solar1_Max (m/s)]],"&lt;&gt;0",RD[[#This Row],[WS_Solar1_Max (m/s)]:[IS7_WS_Solar1_Max (m/s)]]),"")</f>
        <v>3.4140000000000001</v>
      </c>
      <c r="DH96" s="193">
        <f>SUM(RD[[#This Row],[IS1Inv1M1]:[IS4Inv4M2]])</f>
        <v>188177.1</v>
      </c>
      <c r="DI96" s="194">
        <f>SUM(RD[[#This Row],[IS7Inv1M1]]+RD[[#This Row],[IS7Inv2M1]])</f>
        <v>10456.5</v>
      </c>
      <c r="DJ96" s="193">
        <f>SUM(RD[[#This Row],[IS5Inv1M1]:[IS5Inv2M2]])</f>
        <v>26477</v>
      </c>
      <c r="DK96" s="193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75">
        <f>SUM(RD[[#This Row],[IS12Inv1M1]:[IS12Inv1M4]])</f>
        <v>23153.200000000004</v>
      </c>
      <c r="DO96" s="275">
        <f>SUM(RD[[#This Row],[IS13Inv1M1]:[IS13Inv2M2]])</f>
        <v>26219.800000000003</v>
      </c>
      <c r="DP96" s="193">
        <f>SUM(RD[[#This Row],[O2R15]:[O2R26]])</f>
        <v>461152.80000000005</v>
      </c>
      <c r="DQ96" s="158">
        <v>44606.3</v>
      </c>
      <c r="DR96" s="162">
        <v>225.5</v>
      </c>
      <c r="DS96" s="158">
        <v>38955.5</v>
      </c>
      <c r="DT96" s="158">
        <v>237.5</v>
      </c>
      <c r="DU96" s="162">
        <v>45921.4</v>
      </c>
      <c r="DV96" s="162">
        <v>437</v>
      </c>
      <c r="DW96" s="158">
        <v>10526.8</v>
      </c>
      <c r="DX96" s="162">
        <v>54.7</v>
      </c>
      <c r="DY96" s="162">
        <v>3417.3</v>
      </c>
      <c r="DZ96" s="162">
        <v>16.2</v>
      </c>
      <c r="EA96" s="134">
        <v>105.86</v>
      </c>
      <c r="EB96" s="230">
        <v>147342163</v>
      </c>
      <c r="EC96" s="229">
        <v>1039590.848</v>
      </c>
      <c r="ED96" s="230">
        <v>1248</v>
      </c>
      <c r="EE96" s="230">
        <v>141554</v>
      </c>
      <c r="EF96" s="158">
        <v>204287.2</v>
      </c>
      <c r="EG96" s="158">
        <v>2006.2</v>
      </c>
      <c r="EH96" s="140">
        <f>IF((RD[[#This Row],[33 kV_F3_Ex
Incomer1]]-DQ95)*1000&lt;0,0,(RD[[#This Row],[33 kV_F3_Ex
Incomer1]]-DQ95)*1000)</f>
        <v>95400.000000001455</v>
      </c>
      <c r="EI96" s="140">
        <f>IF((RD[[#This Row],[34 kV_F3_Im
Incomer1]]-DR95)*1000&lt;0,0,(RD[[#This Row],[34 kV_F3_Im
Incomer1]]-DR95)*1000)</f>
        <v>400.00000000000568</v>
      </c>
      <c r="EJ96" s="140">
        <f>IF((RD[[#This Row],[33 kV_F4_Ex
Incomer2]]-DS95)*1000&lt;0,0,(RD[[#This Row],[33 kV_F4_Ex
Incomer2]]-DS95)*1000)</f>
        <v>87500</v>
      </c>
      <c r="EK96" s="140">
        <f>IF((RD[[#This Row],[34 kV_F4_Im
Incomer2]]-DT95)*1000&lt;0,0,(RD[[#This Row],[34 kV_F4_Im
Incomer2]]-DT95)*1000)</f>
        <v>300.00000000001137</v>
      </c>
      <c r="EL96" s="140">
        <f>IF((RD[[#This Row],[33 kV_F5_Ex
Incomer3]]-DU95)*1000&lt;0,0,(RD[[#This Row],[33 kV_F5_Ex
Incomer3]]-DU95)*1000)</f>
        <v>112900.00000000146</v>
      </c>
      <c r="EM96" s="140">
        <f>IF((RD[[#This Row],[34 kV_F5_Im
Incomer3]]-DV95)*1000&lt;0,0,(RD[[#This Row],[34 kV_F5_Im
Incomer3]]-DV95)*1000)</f>
        <v>1199.9999999999886</v>
      </c>
      <c r="EN96" s="140">
        <f>IF((RD[[#This Row],[33 kV_F6_Ex
Incomer4]]-DW95)*1000&lt;0,0,(RD[[#This Row],[33 kV_F6_Ex
Incomer4]]-DW95)*1000)</f>
        <v>25599.999999998545</v>
      </c>
      <c r="EO96" s="140">
        <f t="shared" si="166"/>
        <v>300.00000000001137</v>
      </c>
      <c r="EP96" s="140">
        <f>IF((RD[[#This Row],[33 kV_F7_Ex
Incomer5]]-DY95)*1000&lt;0,0,(RD[[#This Row],[33 kV_F7_Ex
Incomer5]]-DY95)*1000)</f>
        <v>112300.00000000017</v>
      </c>
      <c r="EQ96" s="140">
        <f>IF((RD[[#This Row],[33 kV_F7_Im
Incomer5]]-DZ95)*1000&lt;0,0,(RD[[#This Row],[33 kV_F7_Im
Incomer5]]-DZ95)*1000)</f>
        <v>699.99999999999932</v>
      </c>
      <c r="ER96" s="140">
        <f>IF((RD[[#This Row],[33 kV_Aux Trafo]]-EA95)*1000&lt;0,0,(RD[[#This Row],[33 kV_Aux Trafo]]-EA95)*1000)</f>
        <v>239.99999999999488</v>
      </c>
      <c r="ES96" s="152">
        <f>IF((RD[[#This Row],[33kV_OG1_Ex_]]-EB95)*1&lt;0,0,(RD[[#This Row],[33kV_OG1_Ex_]]-EB95)*1)</f>
        <v>456540</v>
      </c>
      <c r="ET96" s="140">
        <f>IF((RD[[#This Row],[33kV_OG1_Im]]-EC95)*1&lt;0,0,(RD[[#This Row],[33kV_OG1_Im]]-EC95)*1)</f>
        <v>3029.3120000000345</v>
      </c>
      <c r="EU96" s="140">
        <f>IF((RD[[#This Row],[132kV_TX1_EX]]-ED95)*720&lt;=0,"",(RD[[#This Row],[132kV_TX1_EX]]-ED95)*720)</f>
        <v>2160</v>
      </c>
      <c r="EV96" s="140">
        <f>IF((RD[[#This Row],[132 kV_Tx1_Im]]-EE95)*720&lt;=0,0,(RD[[#This Row],[132 kV_Tx1_Im]]-EE95)*720)</f>
        <v>327600</v>
      </c>
      <c r="EW96" s="140">
        <f>IF((RD[[#This Row],[132kV_L1_Ex]]-EF95)*720&lt;=0,0,(RD[[#This Row],[132kV_L1_Ex]]-EF95)*720)</f>
        <v>454968.00000001676</v>
      </c>
      <c r="EX96" s="140">
        <f>IF((RD[[#This Row],[132kV_L1_Im]]-EG95)*720&lt;=0,0,(RD[[#This Row],[132kV_L1_Im]]-EG95)*720)</f>
        <v>3455.9999999999673</v>
      </c>
      <c r="EY96" s="231">
        <f>IFERROR(RD[[#This Row],[33kV_OG1_Ex (MWh)]]+RD[[#This Row],[33kV_OG1_Im (MWh)]],"")</f>
        <v>459569.31200000003</v>
      </c>
      <c r="EZ96" s="142">
        <f>RD[[#This Row],[33kV_OG1_Ex (MWh)]]-RD[[#This Row],[33kV_OG1_Im (MWh)]]</f>
        <v>453510.68799999997</v>
      </c>
      <c r="FA96" s="142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32">
        <f>IFERROR((RD[[#This Row],[Sunset Time (POA&lt;20 W/m2)]]-RD[[#This Row],[Sunrise Time (POA&gt;20 W/m2)]])*24,0)</f>
        <v>11.816666666666666</v>
      </c>
      <c r="FD96" s="233">
        <v>126.3</v>
      </c>
      <c r="FE96" s="287" t="s">
        <v>297</v>
      </c>
      <c r="FG96" s="138" t="str">
        <f>IFERROR(RD[[#This Row],[E_AC (WPR)]]/RD[[#This Row],[E_DC (WPR)]],"")</f>
        <v/>
      </c>
    </row>
    <row r="97" spans="1:163">
      <c r="A97" s="130">
        <f t="shared" si="161"/>
        <v>45837</v>
      </c>
      <c r="B97" s="132">
        <f>YEAR(RD[[#This Row],[Date]])+IF(MONTH(RD[[#This Row],[Date]])&gt;=4,1,0)</f>
        <v>2026</v>
      </c>
      <c r="C97" s="132">
        <f>YEAR(RD[[#This Row],[Date]])</f>
        <v>2025</v>
      </c>
      <c r="D97" s="133">
        <f t="shared" si="165"/>
        <v>45809</v>
      </c>
      <c r="E97" s="132">
        <f>DAY(EOMONTH(RD[[#This Row],[Date]],0))</f>
        <v>30</v>
      </c>
      <c r="F97" s="146">
        <v>0.26458333333333334</v>
      </c>
      <c r="G97" s="156">
        <v>0.7631944444444444</v>
      </c>
      <c r="H97" s="121">
        <v>3456.7</v>
      </c>
      <c r="I97" s="257">
        <v>3432</v>
      </c>
      <c r="J97" s="121">
        <v>3198.2</v>
      </c>
      <c r="K97" s="121">
        <v>3264</v>
      </c>
      <c r="L97" s="121">
        <v>3387.6</v>
      </c>
      <c r="M97" s="121">
        <v>3482.8</v>
      </c>
      <c r="N97" s="121">
        <v>3356.9</v>
      </c>
      <c r="O97" s="121">
        <v>3720.9</v>
      </c>
      <c r="P97" s="121">
        <v>3417.5</v>
      </c>
      <c r="Q97" s="121">
        <v>3348.2</v>
      </c>
      <c r="R97" s="121">
        <v>3428.8</v>
      </c>
      <c r="S97" s="255">
        <v>3450.3</v>
      </c>
      <c r="T97" s="121">
        <v>3580.9</v>
      </c>
      <c r="U97" s="121">
        <v>3406.8</v>
      </c>
      <c r="V97" s="121">
        <v>3517.1</v>
      </c>
      <c r="W97" s="121">
        <v>3345.8</v>
      </c>
      <c r="X97" s="255">
        <v>4747.6000000000004</v>
      </c>
      <c r="Y97" s="192">
        <v>5386.7</v>
      </c>
      <c r="Z97" s="192">
        <v>4632.2</v>
      </c>
      <c r="AA97" s="192">
        <v>4847.3999999999996</v>
      </c>
      <c r="AB97" s="255">
        <v>5222</v>
      </c>
      <c r="AC97" s="192">
        <v>3132.2</v>
      </c>
      <c r="AD97" s="192">
        <v>4767.3999999999996</v>
      </c>
      <c r="AE97" s="192">
        <v>4961</v>
      </c>
      <c r="AF97" s="255">
        <v>4782.7</v>
      </c>
      <c r="AG97" s="192">
        <v>4778.5</v>
      </c>
      <c r="AH97" s="192">
        <v>4806.3</v>
      </c>
      <c r="AI97" s="255">
        <v>4825.7</v>
      </c>
      <c r="AJ97" s="192">
        <v>4282.7</v>
      </c>
      <c r="AK97" s="255">
        <v>4447.3</v>
      </c>
      <c r="AL97" s="192">
        <v>4382.8</v>
      </c>
      <c r="AM97" s="255">
        <v>4429.3</v>
      </c>
      <c r="AN97" s="192">
        <v>4393.7</v>
      </c>
      <c r="AO97" s="255">
        <v>4562.5</v>
      </c>
      <c r="AP97" s="192">
        <v>4476.1000000000004</v>
      </c>
      <c r="AQ97" s="255">
        <v>4236.8</v>
      </c>
      <c r="AR97" s="192">
        <v>3554.3</v>
      </c>
      <c r="AS97" s="255">
        <v>3577.8</v>
      </c>
      <c r="AT97" s="192">
        <v>3507.4</v>
      </c>
      <c r="AU97" s="255">
        <v>3498.2</v>
      </c>
      <c r="AV97" s="192">
        <v>3592.7</v>
      </c>
      <c r="AW97" s="192">
        <v>3583.6</v>
      </c>
      <c r="AX97" s="192">
        <v>5076.8</v>
      </c>
      <c r="AY97" s="192">
        <v>5785</v>
      </c>
      <c r="AZ97" s="192">
        <v>4213.3</v>
      </c>
      <c r="BA97" s="192">
        <v>5155.3</v>
      </c>
      <c r="BB97" s="192">
        <v>4746.6000000000004</v>
      </c>
      <c r="BC97" s="192">
        <v>4517.8999999999996</v>
      </c>
      <c r="BD97" s="192">
        <v>4035.9</v>
      </c>
      <c r="BE97" s="192">
        <v>4409.8</v>
      </c>
      <c r="BF97" s="192">
        <v>4860.7</v>
      </c>
      <c r="BG97" s="192">
        <v>4908.6000000000004</v>
      </c>
      <c r="BH97" s="192">
        <v>4855.2</v>
      </c>
      <c r="BI97" s="192">
        <v>5000.3999999999996</v>
      </c>
      <c r="BJ97" s="192">
        <v>3183.8</v>
      </c>
      <c r="BK97" s="192">
        <v>2524.8000000000002</v>
      </c>
      <c r="BL97" s="192">
        <v>3064.2</v>
      </c>
      <c r="BM97" s="192">
        <v>3029</v>
      </c>
      <c r="BN97" s="192">
        <v>3392</v>
      </c>
      <c r="BO97" s="192">
        <v>3219.7</v>
      </c>
      <c r="BP97" s="192">
        <v>3515.1</v>
      </c>
      <c r="BQ97" s="192">
        <v>3498.8</v>
      </c>
      <c r="BR97" s="192">
        <v>3672</v>
      </c>
      <c r="BS97" s="192">
        <v>3796</v>
      </c>
      <c r="BT97" s="192">
        <v>3710.9</v>
      </c>
      <c r="BU97" s="192">
        <v>3893</v>
      </c>
      <c r="BV97" s="192">
        <v>2629.1</v>
      </c>
      <c r="BW97" s="192">
        <v>2102.3000000000002</v>
      </c>
      <c r="BX97" s="192">
        <v>2718.2</v>
      </c>
      <c r="BY97" s="192">
        <v>2445.9</v>
      </c>
      <c r="BZ97" s="192">
        <v>621.20000000000005</v>
      </c>
      <c r="CA97" s="192">
        <v>278.7</v>
      </c>
      <c r="CB97" s="192">
        <v>3017.7</v>
      </c>
      <c r="CC97" s="192">
        <v>3258.1</v>
      </c>
      <c r="CD97" s="250">
        <v>2.6947467999999999</v>
      </c>
      <c r="CE97" s="250">
        <v>2.6365602666666659</v>
      </c>
      <c r="CF97" s="250">
        <v>2.1412474999999982</v>
      </c>
      <c r="CG97" s="250">
        <v>2.6874499499999982</v>
      </c>
      <c r="CH97" s="250">
        <v>0.26964945000000046</v>
      </c>
      <c r="CI97" s="250">
        <v>0.37900648333333326</v>
      </c>
      <c r="CJ97" s="250">
        <v>0.40249731666666705</v>
      </c>
      <c r="CK97" s="250">
        <v>0.37876425000000019</v>
      </c>
      <c r="CL97" s="250">
        <v>26.206387520525496</v>
      </c>
      <c r="CM97" s="250">
        <v>26.212561576354727</v>
      </c>
      <c r="CN97" s="250">
        <v>34.899351395730712</v>
      </c>
      <c r="CO97" s="250">
        <v>32.60453530377665</v>
      </c>
      <c r="CP97" s="250">
        <v>83.487110016420345</v>
      </c>
      <c r="CQ97" s="250">
        <v>83.289614121510553</v>
      </c>
      <c r="CR97" s="250">
        <v>9.8522167487684748E-2</v>
      </c>
      <c r="CS97" s="250">
        <v>6.8965517241379337E-2</v>
      </c>
      <c r="CT97" s="250">
        <v>1.5754088669950728</v>
      </c>
      <c r="CU97" s="250">
        <v>1.7060344827586214</v>
      </c>
      <c r="CV97" s="250">
        <v>4.9349999999999996</v>
      </c>
      <c r="CW97" s="250">
        <v>4.8840000000000003</v>
      </c>
      <c r="CX97" s="193">
        <f>IFERROR(AVERAGEIF(RD[[#This Row],[IS1POA1 (KWh/m2)]:[IS7POA2 (KWh/m2)]],"&lt;&gt;0",RD[[#This Row],[IS1POA1 (KWh/m2)]:[IS7POA2 (KWh/m2)]]),"")</f>
        <v>2.6656535333333329</v>
      </c>
      <c r="CY97" s="193">
        <f>IFERROR(AVERAGEIF(RD[[#This Row],[IS1GHI1 (KWh/m2)]:[IS7GHI2 (KWh/m2)]],"&lt;&gt;0",RD[[#This Row],[IS1GHI1 (KWh/m2)]:[IS7GHI2 (KWh/m2)]]),"")</f>
        <v>2.4143487249999982</v>
      </c>
      <c r="CZ97" s="193">
        <f>IFERROR(AVERAGEIF(RD[[#This Row],[IS1POA_BS1 (KWh/m2)]:[IS7POA_BS2 (KWh/m2)]],"&lt;&gt;0",RD[[#This Row],[IS1POA_BS1 (KWh/m2)]:[IS7POA_BS2 (KWh/m2)]]),"")</f>
        <v>0.32432796666666686</v>
      </c>
      <c r="DA97" s="193">
        <f>IFERROR(AVERAGEIF(RD[[#This Row],[IS1GHI_BS1 (KWh/m2)]:[IS1GHI_BS1 (KWh/m2)2]],"&lt;&gt;0",RD[[#This Row],[IS1GHI_BS1 (KWh/m2)]:[IS1GHI_BS1 (KWh/m2)2]]),"")</f>
        <v>0.39063078333333362</v>
      </c>
      <c r="DB97" s="193">
        <f>IFERROR(AVERAGEIF(RD[[#This Row],[IS1AT1 (°C)]:[IS7AT2 (°C)]],"&lt;&gt;0",RD[[#This Row],[IS1AT1 (°C)]:[IS7AT2 (°C)]]),"")</f>
        <v>26.209474548440113</v>
      </c>
      <c r="DC97" s="193">
        <f>IFERROR(AVERAGEIF(RD[[#This Row],[IS1MT1 (°C)]:[IS7MT2 (°C)]],"&lt;&gt;0",RD[[#This Row],[IS1MT1 (°C)]:[IS7MT2 (°C)]]),"")</f>
        <v>33.751943349753681</v>
      </c>
      <c r="DD97" s="193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193">
        <f>IFERROR(AVERAGEIF(RD[[#This Row],[WS_Solar1_Avg (m/s)]:[IS7_WS_Solar1_Avg (m/s)]],"&lt;&gt;0",RD[[#This Row],[WS_Solar1_Avg (m/s)]:[IS7_WS_Solar1_Avg (m/s)]]),"")</f>
        <v>1.6407216748768469</v>
      </c>
      <c r="DG97" s="193">
        <f>IFERROR(AVERAGEIF(RD[[#This Row],[WS_Solar1_Max (m/s)]:[IS7_WS_Solar1_Max (m/s)]],"&lt;&gt;0",RD[[#This Row],[WS_Solar1_Max (m/s)]:[IS7_WS_Solar1_Max (m/s)]]),"")</f>
        <v>4.9094999999999995</v>
      </c>
      <c r="DH97" s="193">
        <f>SUM(RD[[#This Row],[IS1Inv1M1]:[IS4Inv4M2]])</f>
        <v>111684.2</v>
      </c>
      <c r="DI97" s="194">
        <f>SUM(RD[[#This Row],[IS7Inv1M1]]+RD[[#This Row],[IS7Inv2M1]])</f>
        <v>7132.1</v>
      </c>
      <c r="DJ97" s="193">
        <f>SUM(RD[[#This Row],[IS5Inv1M1]:[IS5Inv2M2]])</f>
        <v>17542.099999999999</v>
      </c>
      <c r="DK97" s="193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75">
        <f>SUM(RD[[#This Row],[IS12Inv1M1]:[IS12Inv1M4]])</f>
        <v>13625.599999999999</v>
      </c>
      <c r="DO97" s="275">
        <f>SUM(RD[[#This Row],[IS13Inv1M1]:[IS13Inv2M2]])</f>
        <v>15071.9</v>
      </c>
      <c r="DP97" s="193">
        <f>SUM(RD[[#This Row],[O2R15]:[O2R26]])</f>
        <v>283345.40000000002</v>
      </c>
      <c r="DQ97" s="158">
        <v>44662.9</v>
      </c>
      <c r="DR97" s="162">
        <v>225.8</v>
      </c>
      <c r="DS97" s="158">
        <v>39008.400000000001</v>
      </c>
      <c r="DT97" s="158">
        <v>237.8</v>
      </c>
      <c r="DU97" s="162">
        <v>45998.1</v>
      </c>
      <c r="DV97" s="162">
        <v>438.3</v>
      </c>
      <c r="DW97" s="158">
        <v>10544.2</v>
      </c>
      <c r="DX97" s="162">
        <v>54.9</v>
      </c>
      <c r="DY97" s="162">
        <v>3483.4</v>
      </c>
      <c r="DZ97" s="162">
        <v>16.899999999999999</v>
      </c>
      <c r="EA97" s="134">
        <v>106.08</v>
      </c>
      <c r="EB97" s="230">
        <v>147625132</v>
      </c>
      <c r="EC97" s="229">
        <v>1042627.072</v>
      </c>
      <c r="ED97" s="230">
        <v>1252</v>
      </c>
      <c r="EE97" s="230">
        <v>141836</v>
      </c>
      <c r="EF97" s="158">
        <v>204679</v>
      </c>
      <c r="EG97" s="158">
        <v>2011.1</v>
      </c>
      <c r="EH97" s="140">
        <f>IF((RD[[#This Row],[33 kV_F3_Ex
Incomer1]]-DQ96)*1000&lt;0,0,(RD[[#This Row],[33 kV_F3_Ex
Incomer1]]-DQ96)*1000)</f>
        <v>56599.999999998545</v>
      </c>
      <c r="EI97" s="140">
        <f>IF((RD[[#This Row],[34 kV_F3_Im
Incomer1]]-DR96)*1000&lt;0,0,(RD[[#This Row],[34 kV_F3_Im
Incomer1]]-DR96)*1000)</f>
        <v>300.00000000001137</v>
      </c>
      <c r="EJ97" s="140">
        <f>IF((RD[[#This Row],[33 kV_F4_Ex
Incomer2]]-DS96)*1000&lt;0,0,(RD[[#This Row],[33 kV_F4_Ex
Incomer2]]-DS96)*1000)</f>
        <v>52900.000000001455</v>
      </c>
      <c r="EK97" s="140">
        <f>IF((RD[[#This Row],[34 kV_F4_Im
Incomer2]]-DT96)*1000&lt;0,0,(RD[[#This Row],[34 kV_F4_Im
Incomer2]]-DT96)*1000)</f>
        <v>300.00000000001137</v>
      </c>
      <c r="EL97" s="140">
        <f>IF((RD[[#This Row],[33 kV_F5_Ex
Incomer3]]-DU96)*1000&lt;0,0,(RD[[#This Row],[33 kV_F5_Ex
Incomer3]]-DU96)*1000)</f>
        <v>76699.99999999709</v>
      </c>
      <c r="EM97" s="140">
        <f>IF((RD[[#This Row],[34 kV_F5_Im
Incomer3]]-DV96)*1000&lt;0,0,(RD[[#This Row],[34 kV_F5_Im
Incomer3]]-DV96)*1000)</f>
        <v>1300.0000000000114</v>
      </c>
      <c r="EN97" s="140">
        <f>IF((RD[[#This Row],[33 kV_F6_Ex
Incomer4]]-DW96)*1000&lt;0,0,(RD[[#This Row],[33 kV_F6_Ex
Incomer4]]-DW96)*1000)</f>
        <v>17400.000000001455</v>
      </c>
      <c r="EO97" s="140">
        <f t="shared" si="166"/>
        <v>400.00000000000568</v>
      </c>
      <c r="EP97" s="140">
        <f>IF((RD[[#This Row],[33 kV_F7_Ex
Incomer5]]-DY96)*1000&lt;0,0,(RD[[#This Row],[33 kV_F7_Ex
Incomer5]]-DY96)*1000)</f>
        <v>66099.999999999913</v>
      </c>
      <c r="EQ97" s="140">
        <f>IF((RD[[#This Row],[33 kV_F7_Im
Incomer5]]-DZ96)*1000&lt;0,0,(RD[[#This Row],[33 kV_F7_Im
Incomer5]]-DZ96)*1000)</f>
        <v>699.99999999999932</v>
      </c>
      <c r="ER97" s="140">
        <f>IF((RD[[#This Row],[33 kV_Aux Trafo]]-EA96)*1000&lt;0,0,(RD[[#This Row],[33 kV_Aux Trafo]]-EA96)*1000)</f>
        <v>219.99999999999886</v>
      </c>
      <c r="ES97" s="152">
        <f>IF((RD[[#This Row],[33kV_OG1_Ex_]]-EB96)*1&lt;0,0,(RD[[#This Row],[33kV_OG1_Ex_]]-EB96)*1)</f>
        <v>282969</v>
      </c>
      <c r="ET97" s="140">
        <f>IF((RD[[#This Row],[33kV_OG1_Im]]-EC96)*1&lt;0,0,(RD[[#This Row],[33kV_OG1_Im]]-EC96)*1)</f>
        <v>3036.2240000000456</v>
      </c>
      <c r="EU97" s="140">
        <f>IF((RD[[#This Row],[132kV_TX1_EX]]-ED96)*720&lt;=0,"",(RD[[#This Row],[132kV_TX1_EX]]-ED96)*720)</f>
        <v>2880</v>
      </c>
      <c r="EV97" s="140">
        <f>IF((RD[[#This Row],[132 kV_Tx1_Im]]-EE96)*720&lt;=0,0,(RD[[#This Row],[132 kV_Tx1_Im]]-EE96)*720)</f>
        <v>203040</v>
      </c>
      <c r="EW97" s="140">
        <f>IF((RD[[#This Row],[132kV_L1_Ex]]-EF96)*720&lt;=0,0,(RD[[#This Row],[132kV_L1_Ex]]-EF96)*720)</f>
        <v>282095.99999999162</v>
      </c>
      <c r="EX97" s="140">
        <f>IF((RD[[#This Row],[132kV_L1_Im]]-EG96)*720&lt;=0,0,(RD[[#This Row],[132kV_L1_Im]]-EG96)*720)</f>
        <v>3527.9999999999018</v>
      </c>
      <c r="EY97" s="231">
        <f>IFERROR(RD[[#This Row],[33kV_OG1_Ex (MWh)]]+RD[[#This Row],[33kV_OG1_Im (MWh)]],"")</f>
        <v>286005.22400000005</v>
      </c>
      <c r="EZ97" s="142">
        <f>RD[[#This Row],[33kV_OG1_Ex (MWh)]]-RD[[#This Row],[33kV_OG1_Im (MWh)]]</f>
        <v>279932.77599999995</v>
      </c>
      <c r="FA97" s="142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32">
        <f>IFERROR((RD[[#This Row],[Sunset Time (POA&lt;20 W/m2)]]-RD[[#This Row],[Sunrise Time (POA&gt;20 W/m2)]])*24,0)</f>
        <v>11.966666666666665</v>
      </c>
      <c r="FD97" s="233">
        <v>126.3</v>
      </c>
      <c r="FE97" s="305" t="s">
        <v>297</v>
      </c>
      <c r="FG97" s="138" t="str">
        <f>IFERROR(RD[[#This Row],[E_AC (WPR)]]/RD[[#This Row],[E_DC (WPR)]],"")</f>
        <v/>
      </c>
    </row>
    <row r="98" spans="1:163">
      <c r="A98" s="130">
        <f t="shared" si="161"/>
        <v>45838</v>
      </c>
      <c r="B98" s="132">
        <f>YEAR(RD[[#This Row],[Date]])+IF(MONTH(RD[[#This Row],[Date]])&gt;=4,1,0)</f>
        <v>2026</v>
      </c>
      <c r="C98" s="132">
        <f>YEAR(RD[[#This Row],[Date]])</f>
        <v>2025</v>
      </c>
      <c r="D98" s="133">
        <f t="shared" si="165"/>
        <v>45809</v>
      </c>
      <c r="E98" s="132">
        <f>DAY(EOMONTH(RD[[#This Row],[Date]],0))</f>
        <v>30</v>
      </c>
      <c r="F98" s="146">
        <v>0.26944444444444443</v>
      </c>
      <c r="G98" s="156">
        <v>0.78263888888888888</v>
      </c>
      <c r="H98" s="121">
        <v>4080.6</v>
      </c>
      <c r="I98" s="257">
        <v>4076.2</v>
      </c>
      <c r="J98" s="121">
        <v>3786.3</v>
      </c>
      <c r="K98" s="121">
        <v>3796.1</v>
      </c>
      <c r="L98" s="121">
        <v>3922</v>
      </c>
      <c r="M98" s="121">
        <v>4044.7</v>
      </c>
      <c r="N98" s="121">
        <v>3928.5</v>
      </c>
      <c r="O98" s="121">
        <v>4380.3999999999996</v>
      </c>
      <c r="P98" s="121">
        <v>4009.3</v>
      </c>
      <c r="Q98" s="121">
        <v>3895.3</v>
      </c>
      <c r="R98" s="121">
        <v>3994</v>
      </c>
      <c r="S98" s="255">
        <v>4043.9</v>
      </c>
      <c r="T98" s="121">
        <v>4199.2</v>
      </c>
      <c r="U98" s="121">
        <v>3967.9</v>
      </c>
      <c r="V98" s="121">
        <v>4118.7</v>
      </c>
      <c r="W98" s="121">
        <v>3956.7</v>
      </c>
      <c r="X98" s="255">
        <v>5592</v>
      </c>
      <c r="Y98" s="192">
        <v>6331.8</v>
      </c>
      <c r="Z98" s="192">
        <v>5450.7</v>
      </c>
      <c r="AA98" s="192">
        <v>5715.1</v>
      </c>
      <c r="AB98" s="255">
        <v>6045</v>
      </c>
      <c r="AC98" s="192">
        <v>3604.7</v>
      </c>
      <c r="AD98" s="192">
        <v>5476</v>
      </c>
      <c r="AE98" s="192">
        <v>5651.3</v>
      </c>
      <c r="AF98" s="255">
        <v>5535.5</v>
      </c>
      <c r="AG98" s="192">
        <v>5580.2</v>
      </c>
      <c r="AH98" s="192">
        <v>5516.3</v>
      </c>
      <c r="AI98" s="255">
        <v>5522.2</v>
      </c>
      <c r="AJ98" s="192">
        <v>4425.8</v>
      </c>
      <c r="AK98" s="255">
        <v>4588</v>
      </c>
      <c r="AL98" s="192">
        <v>4496.1000000000004</v>
      </c>
      <c r="AM98" s="255">
        <v>4565.5</v>
      </c>
      <c r="AN98" s="192">
        <v>4498.1000000000004</v>
      </c>
      <c r="AO98" s="255">
        <v>4649.8999999999996</v>
      </c>
      <c r="AP98" s="192">
        <v>4580.3</v>
      </c>
      <c r="AQ98" s="255">
        <v>4327.3</v>
      </c>
      <c r="AR98" s="192">
        <v>3611.4</v>
      </c>
      <c r="AS98" s="255">
        <v>3634.2</v>
      </c>
      <c r="AT98" s="192">
        <v>3571</v>
      </c>
      <c r="AU98" s="255">
        <v>3583.5</v>
      </c>
      <c r="AV98" s="192">
        <v>3657.6</v>
      </c>
      <c r="AW98" s="192">
        <v>3645.1</v>
      </c>
      <c r="AX98" s="192">
        <v>5179.6000000000004</v>
      </c>
      <c r="AY98" s="192">
        <v>5860.1</v>
      </c>
      <c r="AZ98" s="192">
        <v>4229.6000000000004</v>
      </c>
      <c r="BA98" s="192">
        <v>5181.8</v>
      </c>
      <c r="BB98" s="192">
        <v>5650.1</v>
      </c>
      <c r="BC98" s="192">
        <v>5401.9</v>
      </c>
      <c r="BD98" s="192">
        <v>4897.3999999999996</v>
      </c>
      <c r="BE98" s="192">
        <v>5005.5</v>
      </c>
      <c r="BF98" s="192">
        <v>5902.7</v>
      </c>
      <c r="BG98" s="192">
        <v>5979.5</v>
      </c>
      <c r="BH98" s="192">
        <v>5882.6</v>
      </c>
      <c r="BI98" s="192">
        <v>6046.2</v>
      </c>
      <c r="BJ98" s="192">
        <v>3890.2</v>
      </c>
      <c r="BK98" s="192">
        <v>3089.6</v>
      </c>
      <c r="BL98" s="192">
        <v>3751.5</v>
      </c>
      <c r="BM98" s="192">
        <v>4251</v>
      </c>
      <c r="BN98" s="192">
        <v>4144.3</v>
      </c>
      <c r="BO98" s="192">
        <v>3982.9</v>
      </c>
      <c r="BP98" s="192">
        <v>4370.7</v>
      </c>
      <c r="BQ98" s="192">
        <v>4271.6000000000004</v>
      </c>
      <c r="BR98" s="192">
        <v>4492</v>
      </c>
      <c r="BS98" s="192">
        <v>4622.2</v>
      </c>
      <c r="BT98" s="192">
        <v>4539</v>
      </c>
      <c r="BU98" s="192">
        <v>4741.8</v>
      </c>
      <c r="BV98" s="192">
        <v>3923.2</v>
      </c>
      <c r="BW98" s="192">
        <v>2688.8</v>
      </c>
      <c r="BX98" s="192">
        <v>3401.9</v>
      </c>
      <c r="BY98" s="192">
        <v>3709.5</v>
      </c>
      <c r="BZ98" s="192">
        <v>840.7</v>
      </c>
      <c r="CA98" s="192">
        <v>387.5</v>
      </c>
      <c r="CB98" s="192">
        <v>3736.1</v>
      </c>
      <c r="CC98" s="192">
        <v>4018.9</v>
      </c>
      <c r="CD98" s="250">
        <v>3.2021838999999992</v>
      </c>
      <c r="CE98" s="250">
        <v>2.7193817000000013</v>
      </c>
      <c r="CF98" s="250">
        <v>2.5280537166666668</v>
      </c>
      <c r="CG98" s="250">
        <v>2.7019890833333333</v>
      </c>
      <c r="CH98" s="250">
        <v>0.31491691666666682</v>
      </c>
      <c r="CI98" s="250">
        <v>0.36576698333333302</v>
      </c>
      <c r="CJ98" s="250">
        <v>0.47702435000000004</v>
      </c>
      <c r="CK98" s="250">
        <v>0.38634899999999961</v>
      </c>
      <c r="CL98" s="250">
        <v>27.101262135922244</v>
      </c>
      <c r="CM98" s="250">
        <v>26.995307443365721</v>
      </c>
      <c r="CN98" s="250">
        <v>36.621183656957946</v>
      </c>
      <c r="CO98" s="250">
        <v>33.700226537216793</v>
      </c>
      <c r="CP98" s="250">
        <v>80.03394822006473</v>
      </c>
      <c r="CQ98" s="250">
        <v>81.112500000000026</v>
      </c>
      <c r="CR98" s="250">
        <v>0</v>
      </c>
      <c r="CS98" s="250">
        <v>9.7087378640776621E-3</v>
      </c>
      <c r="CT98" s="250">
        <v>1.2311771844660215</v>
      </c>
      <c r="CU98" s="250">
        <v>1.2146699029126209</v>
      </c>
      <c r="CV98" s="250">
        <v>3.3029999999999999</v>
      </c>
      <c r="CW98" s="250">
        <v>3.4140000000000001</v>
      </c>
      <c r="CX98" s="193">
        <f>IFERROR(AVERAGEIF(RD[[#This Row],[IS1POA1 (KWh/m2)]:[IS7POA2 (KWh/m2)]],"&lt;&gt;0",RD[[#This Row],[IS1POA1 (KWh/m2)]:[IS7POA2 (KWh/m2)]]),"")</f>
        <v>2.9607828000000005</v>
      </c>
      <c r="CY98" s="193">
        <f>IFERROR(AVERAGEIF(RD[[#This Row],[IS1GHI1 (KWh/m2)]:[IS7GHI2 (KWh/m2)]],"&lt;&gt;0",RD[[#This Row],[IS1GHI1 (KWh/m2)]:[IS7GHI2 (KWh/m2)]]),"")</f>
        <v>2.6150213999999998</v>
      </c>
      <c r="CZ98" s="193">
        <f>IFERROR(AVERAGEIF(RD[[#This Row],[IS1POA_BS1 (KWh/m2)]:[IS7POA_BS2 (KWh/m2)]],"&lt;&gt;0",RD[[#This Row],[IS1POA_BS1 (KWh/m2)]:[IS7POA_BS2 (KWh/m2)]]),"")</f>
        <v>0.34034194999999989</v>
      </c>
      <c r="DA98" s="193">
        <f>IFERROR(AVERAGEIF(RD[[#This Row],[IS1GHI_BS1 (KWh/m2)]:[IS1GHI_BS1 (KWh/m2)2]],"&lt;&gt;0",RD[[#This Row],[IS1GHI_BS1 (KWh/m2)]:[IS1GHI_BS1 (KWh/m2)2]]),"")</f>
        <v>0.4316866749999998</v>
      </c>
      <c r="DB98" s="193">
        <f>IFERROR(AVERAGEIF(RD[[#This Row],[IS1AT1 (°C)]:[IS7AT2 (°C)]],"&lt;&gt;0",RD[[#This Row],[IS1AT1 (°C)]:[IS7AT2 (°C)]]),"")</f>
        <v>27.048284789643983</v>
      </c>
      <c r="DC98" s="193">
        <f>IFERROR(AVERAGEIF(RD[[#This Row],[IS1MT1 (°C)]:[IS7MT2 (°C)]],"&lt;&gt;0",RD[[#This Row],[IS1MT1 (°C)]:[IS7MT2 (°C)]]),"")</f>
        <v>35.160705097087373</v>
      </c>
      <c r="DD98" s="193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193">
        <f>IFERROR(AVERAGEIF(RD[[#This Row],[WS_Solar1_Avg (m/s)]:[IS7_WS_Solar1_Avg (m/s)]],"&lt;&gt;0",RD[[#This Row],[WS_Solar1_Avg (m/s)]:[IS7_WS_Solar1_Avg (m/s)]]),"")</f>
        <v>1.2229235436893213</v>
      </c>
      <c r="DG98" s="193">
        <f>IFERROR(AVERAGEIF(RD[[#This Row],[WS_Solar1_Max (m/s)]:[IS7_WS_Solar1_Max (m/s)]],"&lt;&gt;0",RD[[#This Row],[WS_Solar1_Max (m/s)]:[IS7_WS_Solar1_Max (m/s)]]),"")</f>
        <v>3.3585000000000003</v>
      </c>
      <c r="DH98" s="193">
        <f>SUM(RD[[#This Row],[IS1Inv1M1]:[IS4Inv4M2]])</f>
        <v>130220.59999999999</v>
      </c>
      <c r="DI98" s="194">
        <f>SUM(RD[[#This Row],[IS7Inv1M1]]+RD[[#This Row],[IS7Inv2M1]])</f>
        <v>7245.6</v>
      </c>
      <c r="DJ98" s="193">
        <f>SUM(RD[[#This Row],[IS5Inv1M1]:[IS5Inv2M2]])</f>
        <v>18075.400000000001</v>
      </c>
      <c r="DK98" s="193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75">
        <f>SUM(RD[[#This Row],[IS12Inv1M1]:[IS12Inv1M4]])</f>
        <v>16769.5</v>
      </c>
      <c r="DO98" s="275">
        <f>SUM(RD[[#This Row],[IS13Inv1M1]:[IS13Inv2M2]])</f>
        <v>18395</v>
      </c>
      <c r="DP98" s="193">
        <f>SUM(RD[[#This Row],[O2R15]:[O2R26]])</f>
        <v>326124.79999999993</v>
      </c>
      <c r="DQ98" s="158">
        <v>44728.7</v>
      </c>
      <c r="DR98" s="162">
        <v>226.2</v>
      </c>
      <c r="DS98" s="158">
        <v>39070.1</v>
      </c>
      <c r="DT98" s="158">
        <v>238.1</v>
      </c>
      <c r="DU98" s="162">
        <v>46076.3</v>
      </c>
      <c r="DV98" s="162">
        <v>439.6</v>
      </c>
      <c r="DW98" s="158">
        <v>10567</v>
      </c>
      <c r="DX98" s="162">
        <v>55.2</v>
      </c>
      <c r="DY98" s="162">
        <v>3563.2</v>
      </c>
      <c r="DZ98" s="162">
        <v>17.600000000000001</v>
      </c>
      <c r="EA98" s="134">
        <v>106.33</v>
      </c>
      <c r="EB98" s="230">
        <v>147949748</v>
      </c>
      <c r="EC98" s="229">
        <v>1045947.328</v>
      </c>
      <c r="ED98" s="230">
        <v>1256</v>
      </c>
      <c r="EE98" s="230">
        <v>142159</v>
      </c>
      <c r="EF98" s="158">
        <v>205128.4</v>
      </c>
      <c r="EG98" s="158">
        <v>2016.4</v>
      </c>
      <c r="EH98" s="140">
        <f>IF((RD[[#This Row],[33 kV_F3_Ex
Incomer1]]-DQ97)*1000&lt;0,0,(RD[[#This Row],[33 kV_F3_Ex
Incomer1]]-DQ97)*1000)</f>
        <v>65799.999999995634</v>
      </c>
      <c r="EI98" s="140">
        <f>IF((RD[[#This Row],[34 kV_F3_Im
Incomer1]]-DR97)*1000&lt;0,0,(RD[[#This Row],[34 kV_F3_Im
Incomer1]]-DR97)*1000)</f>
        <v>399.99999999997726</v>
      </c>
      <c r="EJ98" s="140">
        <f>IF((RD[[#This Row],[33 kV_F4_Ex
Incomer2]]-DS97)*1000&lt;0,0,(RD[[#This Row],[33 kV_F4_Ex
Incomer2]]-DS97)*1000)</f>
        <v>61699.99999999709</v>
      </c>
      <c r="EK98" s="140">
        <f>IF((RD[[#This Row],[34 kV_F4_Im
Incomer2]]-DT97)*1000&lt;0,0,(RD[[#This Row],[34 kV_F4_Im
Incomer2]]-DT97)*1000)</f>
        <v>299.99999999998295</v>
      </c>
      <c r="EL98" s="140">
        <f>IF((RD[[#This Row],[33 kV_F5_Ex
Incomer3]]-DU97)*1000&lt;0,0,(RD[[#This Row],[33 kV_F5_Ex
Incomer3]]-DU97)*1000)</f>
        <v>78200.000000004366</v>
      </c>
      <c r="EM98" s="140">
        <f>IF((RD[[#This Row],[34 kV_F5_Im
Incomer3]]-DV97)*1000&lt;0,0,(RD[[#This Row],[34 kV_F5_Im
Incomer3]]-DV97)*1000)</f>
        <v>1300.0000000000114</v>
      </c>
      <c r="EN98" s="140">
        <f>IF((RD[[#This Row],[33 kV_F6_Ex
Incomer4]]-DW97)*1000&lt;0,0,(RD[[#This Row],[33 kV_F6_Ex
Incomer4]]-DW97)*1000)</f>
        <v>22799.999999999272</v>
      </c>
      <c r="EO98" s="140">
        <f t="shared" si="166"/>
        <v>299.99999999998295</v>
      </c>
      <c r="EP98" s="140">
        <f>IF((RD[[#This Row],[33 kV_F7_Ex
Incomer5]]-DY97)*1000&lt;0,0,(RD[[#This Row],[33 kV_F7_Ex
Incomer5]]-DY97)*1000)</f>
        <v>79799.999999999724</v>
      </c>
      <c r="EQ98" s="140">
        <f>IF((RD[[#This Row],[33 kV_F7_Im
Incomer5]]-DZ97)*1000&lt;0,0,(RD[[#This Row],[33 kV_F7_Im
Incomer5]]-DZ97)*1000)</f>
        <v>700.00000000000284</v>
      </c>
      <c r="ER98" s="140">
        <f>IF((RD[[#This Row],[33 kV_Aux Trafo]]-EA97)*1000&lt;0,0,(RD[[#This Row],[33 kV_Aux Trafo]]-EA97)*1000)</f>
        <v>250</v>
      </c>
      <c r="ES98" s="152">
        <f>IF((RD[[#This Row],[33kV_OG1_Ex_]]-EB97)*1&lt;0,0,(RD[[#This Row],[33kV_OG1_Ex_]]-EB97)*1)</f>
        <v>324616</v>
      </c>
      <c r="ET98" s="140">
        <f>IF((RD[[#This Row],[33kV_OG1_Im]]-EC97)*1&lt;0,0,(RD[[#This Row],[33kV_OG1_Im]]-EC97)*1)</f>
        <v>3320.2559999999357</v>
      </c>
      <c r="EU98" s="140">
        <f>IF((RD[[#This Row],[132kV_TX1_EX]]-ED97)*720&lt;=0,"",(RD[[#This Row],[132kV_TX1_EX]]-ED97)*720)</f>
        <v>2880</v>
      </c>
      <c r="EV98" s="140">
        <f>IF((RD[[#This Row],[132 kV_Tx1_Im]]-EE97)*720&lt;=0,0,(RD[[#This Row],[132 kV_Tx1_Im]]-EE97)*720)</f>
        <v>232560</v>
      </c>
      <c r="EW98" s="140">
        <f>IF((RD[[#This Row],[132kV_L1_Ex]]-EF97)*720&lt;=0,0,(RD[[#This Row],[132kV_L1_Ex]]-EF97)*720)</f>
        <v>323567.99999999581</v>
      </c>
      <c r="EX98" s="140">
        <f>IF((RD[[#This Row],[132kV_L1_Im]]-EG97)*720&lt;=0,0,(RD[[#This Row],[132kV_L1_Im]]-EG97)*720)</f>
        <v>3816.000000000131</v>
      </c>
      <c r="EY98" s="231">
        <f>IFERROR(RD[[#This Row],[33kV_OG1_Ex (MWh)]]+RD[[#This Row],[33kV_OG1_Im (MWh)]],"")</f>
        <v>327936.25599999994</v>
      </c>
      <c r="EZ98" s="142">
        <f>RD[[#This Row],[33kV_OG1_Ex (MWh)]]-RD[[#This Row],[33kV_OG1_Im (MWh)]]</f>
        <v>321295.74400000006</v>
      </c>
      <c r="FA98" s="142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32">
        <f>IFERROR((RD[[#This Row],[Sunset Time (POA&lt;20 W/m2)]]-RD[[#This Row],[Sunrise Time (POA&gt;20 W/m2)]])*24,0)</f>
        <v>12.316666666666668</v>
      </c>
      <c r="FD98" s="233">
        <v>128.08000000000001</v>
      </c>
      <c r="FE98" t="s">
        <v>1275</v>
      </c>
      <c r="FG98" s="138" t="str">
        <f>IFERROR(RD[[#This Row],[E_AC (WPR)]]/RD[[#This Row],[E_DC (WPR)]],"")</f>
        <v/>
      </c>
    </row>
    <row r="99" spans="1:163">
      <c r="A99" s="130">
        <f t="shared" si="161"/>
        <v>45839</v>
      </c>
      <c r="B99" s="132">
        <f>YEAR(RD[[#This Row],[Date]])+IF(MONTH(RD[[#This Row],[Date]])&gt;=4,1,0)</f>
        <v>2026</v>
      </c>
      <c r="C99" s="132">
        <f>YEAR(RD[[#This Row],[Date]])</f>
        <v>2025</v>
      </c>
      <c r="D99" s="133">
        <f t="shared" si="165"/>
        <v>45839</v>
      </c>
      <c r="E99" s="132">
        <f>DAY(EOMONTH(RD[[#This Row],[Date]],0))</f>
        <v>31</v>
      </c>
      <c r="F99" s="146">
        <v>0.26597222222222222</v>
      </c>
      <c r="G99" s="156">
        <v>0.77777777777777779</v>
      </c>
      <c r="H99" s="121">
        <v>4764.1000000000004</v>
      </c>
      <c r="I99" s="257">
        <v>4732.3999999999996</v>
      </c>
      <c r="J99" s="121">
        <v>4422.3</v>
      </c>
      <c r="K99" s="121">
        <v>4440.8</v>
      </c>
      <c r="L99" s="121">
        <v>4585.5</v>
      </c>
      <c r="M99" s="121">
        <v>4746.5</v>
      </c>
      <c r="N99" s="121">
        <v>4607</v>
      </c>
      <c r="O99" s="121">
        <v>5107.1000000000004</v>
      </c>
      <c r="P99" s="121">
        <v>4700.7</v>
      </c>
      <c r="Q99" s="121">
        <v>4554.3999999999996</v>
      </c>
      <c r="R99" s="121">
        <v>4664</v>
      </c>
      <c r="S99" s="255">
        <v>4726.2</v>
      </c>
      <c r="T99" s="121">
        <v>4897.3999999999996</v>
      </c>
      <c r="U99" s="121">
        <v>4622.7</v>
      </c>
      <c r="V99" s="121">
        <v>4801.3999999999996</v>
      </c>
      <c r="W99" s="121">
        <v>4618.7</v>
      </c>
      <c r="X99" s="255">
        <v>6475.1</v>
      </c>
      <c r="Y99" s="192">
        <v>7281.6</v>
      </c>
      <c r="Z99" s="192">
        <v>6328.7</v>
      </c>
      <c r="AA99" s="192">
        <v>6629.5</v>
      </c>
      <c r="AB99" s="255">
        <v>6941.5</v>
      </c>
      <c r="AC99" s="192">
        <v>4164.8</v>
      </c>
      <c r="AD99" s="192">
        <v>6286.2</v>
      </c>
      <c r="AE99" s="192">
        <v>6536.6</v>
      </c>
      <c r="AF99" s="255">
        <v>6380.7</v>
      </c>
      <c r="AG99" s="192">
        <v>6417</v>
      </c>
      <c r="AH99" s="192">
        <v>6375.7</v>
      </c>
      <c r="AI99" s="255">
        <v>6387.7</v>
      </c>
      <c r="AJ99" s="192">
        <v>5257.1</v>
      </c>
      <c r="AK99" s="255">
        <v>5442.8</v>
      </c>
      <c r="AL99" s="192">
        <v>5333.5</v>
      </c>
      <c r="AM99" s="255">
        <v>5402</v>
      </c>
      <c r="AN99" s="192">
        <v>5358.2</v>
      </c>
      <c r="AO99" s="255">
        <v>5542.7</v>
      </c>
      <c r="AP99" s="192">
        <v>5463.6</v>
      </c>
      <c r="AQ99" s="255">
        <v>5176.5</v>
      </c>
      <c r="AR99" s="192">
        <v>4331.7</v>
      </c>
      <c r="AS99" s="255">
        <v>4348.1000000000004</v>
      </c>
      <c r="AT99" s="192">
        <v>4268</v>
      </c>
      <c r="AU99" s="255">
        <v>4293.2</v>
      </c>
      <c r="AV99" s="192">
        <v>4368.7</v>
      </c>
      <c r="AW99" s="192">
        <v>4352.1000000000004</v>
      </c>
      <c r="AX99" s="192">
        <v>6190.4</v>
      </c>
      <c r="AY99" s="192">
        <v>7013.4</v>
      </c>
      <c r="AZ99" s="192">
        <v>5071.5</v>
      </c>
      <c r="BA99" s="192">
        <v>6192.2</v>
      </c>
      <c r="BB99" s="192">
        <v>6428.6</v>
      </c>
      <c r="BC99" s="192">
        <v>6137.1</v>
      </c>
      <c r="BD99" s="192">
        <v>5570.4</v>
      </c>
      <c r="BE99" s="192">
        <v>5615.8</v>
      </c>
      <c r="BF99" s="192">
        <v>6700.3</v>
      </c>
      <c r="BG99" s="192">
        <v>6793.6</v>
      </c>
      <c r="BH99" s="192">
        <v>6661.7</v>
      </c>
      <c r="BI99" s="192">
        <v>6877.7</v>
      </c>
      <c r="BJ99" s="192">
        <v>4455</v>
      </c>
      <c r="BK99" s="192">
        <v>3548</v>
      </c>
      <c r="BL99" s="192">
        <v>4288.8999999999996</v>
      </c>
      <c r="BM99" s="192">
        <v>4070.2</v>
      </c>
      <c r="BN99" s="192">
        <v>4700.3999999999996</v>
      </c>
      <c r="BO99" s="192">
        <v>4472.6000000000004</v>
      </c>
      <c r="BP99" s="192">
        <v>4918</v>
      </c>
      <c r="BQ99" s="192">
        <v>4842.8</v>
      </c>
      <c r="BR99" s="192">
        <v>4919.6000000000004</v>
      </c>
      <c r="BS99" s="192">
        <v>5188.5</v>
      </c>
      <c r="BT99" s="192">
        <v>5082.7</v>
      </c>
      <c r="BU99" s="192">
        <v>5496.8</v>
      </c>
      <c r="BV99" s="192">
        <v>4349.7</v>
      </c>
      <c r="BW99" s="192">
        <v>3033.3</v>
      </c>
      <c r="BX99" s="192">
        <v>3750.6</v>
      </c>
      <c r="BY99" s="192">
        <v>4081</v>
      </c>
      <c r="BZ99" s="192">
        <v>1349.6</v>
      </c>
      <c r="CA99" s="192">
        <v>437.7</v>
      </c>
      <c r="CB99" s="192">
        <v>4191.8999999999996</v>
      </c>
      <c r="CC99" s="192">
        <v>4551.5</v>
      </c>
      <c r="CD99" s="250">
        <v>3.7689169666666653</v>
      </c>
      <c r="CE99" s="250">
        <v>3.2619244333333381</v>
      </c>
      <c r="CF99" s="250">
        <v>2.9759130999999992</v>
      </c>
      <c r="CG99" s="250">
        <v>3.2627356166666699</v>
      </c>
      <c r="CH99" s="250">
        <v>0.41227006666666749</v>
      </c>
      <c r="CI99" s="250">
        <v>0.4575469166666668</v>
      </c>
      <c r="CJ99" s="250">
        <v>0.57782066666666632</v>
      </c>
      <c r="CK99" s="250">
        <v>0.47430330000000021</v>
      </c>
      <c r="CL99" s="250">
        <v>26.902974358974298</v>
      </c>
      <c r="CM99" s="250">
        <v>27.218341880341853</v>
      </c>
      <c r="CN99" s="250">
        <v>37.340736752136799</v>
      </c>
      <c r="CO99" s="250">
        <v>34.771874358974344</v>
      </c>
      <c r="CP99" s="250">
        <v>80.650982905982943</v>
      </c>
      <c r="CQ99" s="250">
        <v>79.405188034187944</v>
      </c>
      <c r="CR99" s="250">
        <v>1.0256410256410248E-2</v>
      </c>
      <c r="CS99" s="250">
        <v>0</v>
      </c>
      <c r="CT99" s="250">
        <v>1.6913230769230774</v>
      </c>
      <c r="CU99" s="250">
        <v>1.8990692307692296</v>
      </c>
      <c r="CV99" s="250">
        <v>4.0979999999999999</v>
      </c>
      <c r="CW99" s="250">
        <v>5.085</v>
      </c>
      <c r="CX99" s="193">
        <f>IFERROR(AVERAGEIF(RD[[#This Row],[IS1POA1 (KWh/m2)]:[IS7POA2 (KWh/m2)]],"&lt;&gt;0",RD[[#This Row],[IS1POA1 (KWh/m2)]:[IS7POA2 (KWh/m2)]]),"")</f>
        <v>3.5154207000000017</v>
      </c>
      <c r="CY99" s="193">
        <f>IFERROR(AVERAGEIF(RD[[#This Row],[IS1GHI1 (KWh/m2)]:[IS7GHI2 (KWh/m2)]],"&lt;&gt;0",RD[[#This Row],[IS1GHI1 (KWh/m2)]:[IS7GHI2 (KWh/m2)]]),"")</f>
        <v>3.1193243583333343</v>
      </c>
      <c r="CZ99" s="193">
        <f>IFERROR(AVERAGEIF(RD[[#This Row],[IS1POA_BS1 (KWh/m2)]:[IS7POA_BS2 (KWh/m2)]],"&lt;&gt;0",RD[[#This Row],[IS1POA_BS1 (KWh/m2)]:[IS7POA_BS2 (KWh/m2)]]),"")</f>
        <v>0.43490849166666712</v>
      </c>
      <c r="DA99" s="193">
        <f>IFERROR(AVERAGEIF(RD[[#This Row],[IS1GHI_BS1 (KWh/m2)]:[IS1GHI_BS1 (KWh/m2)2]],"&lt;&gt;0",RD[[#This Row],[IS1GHI_BS1 (KWh/m2)]:[IS1GHI_BS1 (KWh/m2)2]]),"")</f>
        <v>0.52606198333333332</v>
      </c>
      <c r="DB99" s="193">
        <f>IFERROR(AVERAGEIF(RD[[#This Row],[IS1AT1 (°C)]:[IS7AT2 (°C)]],"&lt;&gt;0",RD[[#This Row],[IS1AT1 (°C)]:[IS7AT2 (°C)]]),"")</f>
        <v>27.060658119658076</v>
      </c>
      <c r="DC99" s="193">
        <f>IFERROR(AVERAGEIF(RD[[#This Row],[IS1MT1 (°C)]:[IS7MT2 (°C)]],"&lt;&gt;0",RD[[#This Row],[IS1MT1 (°C)]:[IS7MT2 (°C)]]),"")</f>
        <v>36.056305555555568</v>
      </c>
      <c r="DD99" s="193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193">
        <f>IFERROR(AVERAGEIF(RD[[#This Row],[WS_Solar1_Avg (m/s)]:[IS7_WS_Solar1_Avg (m/s)]],"&lt;&gt;0",RD[[#This Row],[WS_Solar1_Avg (m/s)]:[IS7_WS_Solar1_Avg (m/s)]]),"")</f>
        <v>1.7951961538461534</v>
      </c>
      <c r="DG99" s="193">
        <f>IFERROR(AVERAGEIF(RD[[#This Row],[WS_Solar1_Max (m/s)]:[IS7_WS_Solar1_Max (m/s)]],"&lt;&gt;0",RD[[#This Row],[WS_Solar1_Max (m/s)]:[IS7_WS_Solar1_Max (m/s)]]),"")</f>
        <v>4.5914999999999999</v>
      </c>
      <c r="DH99" s="193">
        <f>SUM(RD[[#This Row],[IS1Inv1M1]:[IS4Inv4M2]])</f>
        <v>151196.30000000002</v>
      </c>
      <c r="DI99" s="194">
        <f>SUM(RD[[#This Row],[IS7Inv1M1]]+RD[[#This Row],[IS7Inv2M1]])</f>
        <v>8679.7999999999993</v>
      </c>
      <c r="DJ99" s="193">
        <f>SUM(RD[[#This Row],[IS5Inv1M1]:[IS5Inv2M2]])</f>
        <v>21435.4</v>
      </c>
      <c r="DK99" s="193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75">
        <f>SUM(RD[[#This Row],[IS12Inv1M1]:[IS12Inv1M4]])</f>
        <v>18933.8</v>
      </c>
      <c r="DO99" s="275">
        <f>SUM(RD[[#This Row],[IS13Inv1M1]:[IS13Inv2M2]])</f>
        <v>20687.599999999999</v>
      </c>
      <c r="DP99" s="193">
        <f>SUM(RD[[#This Row],[O2R15]:[O2R26]])</f>
        <v>377115.99999999994</v>
      </c>
      <c r="DQ99" s="158">
        <v>44804.5</v>
      </c>
      <c r="DR99" s="162">
        <v>226.6</v>
      </c>
      <c r="DS99" s="158">
        <v>39141.800000000003</v>
      </c>
      <c r="DT99" s="158">
        <v>238.5</v>
      </c>
      <c r="DU99" s="162">
        <v>46169.4</v>
      </c>
      <c r="DV99" s="162">
        <v>440.9</v>
      </c>
      <c r="DW99" s="158">
        <v>10592.8</v>
      </c>
      <c r="DX99" s="162">
        <v>55.4</v>
      </c>
      <c r="DY99" s="162">
        <v>3653.2</v>
      </c>
      <c r="DZ99" s="162">
        <v>18.3</v>
      </c>
      <c r="EA99" s="134">
        <v>106.57</v>
      </c>
      <c r="EB99" s="230">
        <v>148324630</v>
      </c>
      <c r="EC99" s="229">
        <v>1049154.7520000001</v>
      </c>
      <c r="ED99" s="230">
        <v>1259</v>
      </c>
      <c r="EE99" s="230">
        <v>142533</v>
      </c>
      <c r="EF99" s="158">
        <v>205647.4</v>
      </c>
      <c r="EG99" s="158">
        <v>2021.6</v>
      </c>
      <c r="EH99" s="140">
        <f>IF((RD[[#This Row],[33 kV_F3_Ex
Incomer1]]-DQ98)*1000&lt;0,0,(RD[[#This Row],[33 kV_F3_Ex
Incomer1]]-DQ98)*1000)</f>
        <v>75800.00000000291</v>
      </c>
      <c r="EI99" s="140">
        <f>IF((RD[[#This Row],[34 kV_F3_Im
Incomer1]]-DR98)*1000&lt;0,0,(RD[[#This Row],[34 kV_F3_Im
Incomer1]]-DR98)*1000)</f>
        <v>400.00000000000568</v>
      </c>
      <c r="EJ99" s="140">
        <f>IF((RD[[#This Row],[33 kV_F4_Ex
Incomer2]]-DS98)*1000&lt;0,0,(RD[[#This Row],[33 kV_F4_Ex
Incomer2]]-DS98)*1000)</f>
        <v>71700.000000004366</v>
      </c>
      <c r="EK99" s="140">
        <f>IF((RD[[#This Row],[34 kV_F4_Im
Incomer2]]-DT98)*1000&lt;0,0,(RD[[#This Row],[34 kV_F4_Im
Incomer2]]-DT98)*1000)</f>
        <v>400.00000000000568</v>
      </c>
      <c r="EL99" s="140">
        <f>IF((RD[[#This Row],[33 kV_F5_Ex
Incomer3]]-DU98)*1000&lt;0,0,(RD[[#This Row],[33 kV_F5_Ex
Incomer3]]-DU98)*1000)</f>
        <v>93099.999999998545</v>
      </c>
      <c r="EM99" s="140">
        <f>IF((RD[[#This Row],[34 kV_F5_Im
Incomer3]]-DV98)*1000&lt;0,0,(RD[[#This Row],[34 kV_F5_Im
Incomer3]]-DV98)*1000)</f>
        <v>1299.9999999999545</v>
      </c>
      <c r="EN99" s="140">
        <f>IF((RD[[#This Row],[33 kV_F6_Ex
Incomer4]]-DW98)*1000&lt;0,0,(RD[[#This Row],[33 kV_F6_Ex
Incomer4]]-DW98)*1000)</f>
        <v>25799.999999999272</v>
      </c>
      <c r="EO99" s="140">
        <f t="shared" si="166"/>
        <v>300.00000000001137</v>
      </c>
      <c r="EP99" s="140">
        <f>IF((RD[[#This Row],[33 kV_F7_Ex
Incomer5]]-DY98)*1000&lt;0,0,(RD[[#This Row],[33 kV_F7_Ex
Incomer5]]-DY98)*1000)</f>
        <v>90000</v>
      </c>
      <c r="EQ99" s="140">
        <f>IF((RD[[#This Row],[33 kV_F7_Im
Incomer5]]-DZ98)*1000&lt;0,0,(RD[[#This Row],[33 kV_F7_Im
Incomer5]]-DZ98)*1000)</f>
        <v>699.99999999999932</v>
      </c>
      <c r="ER99" s="140">
        <f>IF((RD[[#This Row],[33 kV_Aux Trafo]]-EA98)*1000&lt;0,0,(RD[[#This Row],[33 kV_Aux Trafo]]-EA98)*1000)</f>
        <v>239.99999999999488</v>
      </c>
      <c r="ES99" s="152">
        <f>IF((RD[[#This Row],[33kV_OG1_Ex_]]-EB98)*1&lt;0,0,(RD[[#This Row],[33kV_OG1_Ex_]]-EB98)*1)</f>
        <v>374882</v>
      </c>
      <c r="ET99" s="140">
        <f>IF((RD[[#This Row],[33kV_OG1_Im]]-EC98)*1&lt;0,0,(RD[[#This Row],[33kV_OG1_Im]]-EC98)*1)</f>
        <v>3207.4240000001155</v>
      </c>
      <c r="EU99" s="140">
        <f>IF((RD[[#This Row],[132kV_TX1_EX]]-ED98)*720&lt;=0,"",(RD[[#This Row],[132kV_TX1_EX]]-ED98)*720)</f>
        <v>2160</v>
      </c>
      <c r="EV99" s="140">
        <f>IF((RD[[#This Row],[132 kV_Tx1_Im]]-EE98)*720&lt;=0,0,(RD[[#This Row],[132 kV_Tx1_Im]]-EE98)*720)</f>
        <v>269280</v>
      </c>
      <c r="EW99" s="140">
        <f>IF((RD[[#This Row],[132kV_L1_Ex]]-EF98)*720&lt;=0,0,(RD[[#This Row],[132kV_L1_Ex]]-EF98)*720)</f>
        <v>373680</v>
      </c>
      <c r="EX99" s="140">
        <f>IF((RD[[#This Row],[132kV_L1_Im]]-EG98)*720&lt;=0,0,(RD[[#This Row],[132kV_L1_Im]]-EG98)*720)</f>
        <v>3743.999999999869</v>
      </c>
      <c r="EY99" s="231">
        <f>IFERROR(RD[[#This Row],[33kV_OG1_Ex (MWh)]]+RD[[#This Row],[33kV_OG1_Im (MWh)]],"")</f>
        <v>378089.42400000012</v>
      </c>
      <c r="EZ99" s="142">
        <f>RD[[#This Row],[33kV_OG1_Ex (MWh)]]-RD[[#This Row],[33kV_OG1_Im (MWh)]]</f>
        <v>371674.57599999988</v>
      </c>
      <c r="FA99" s="142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32">
        <f>IFERROR((RD[[#This Row],[Sunset Time (POA&lt;20 W/m2)]]-RD[[#This Row],[Sunrise Time (POA&gt;20 W/m2)]])*24,0)</f>
        <v>12.283333333333335</v>
      </c>
      <c r="FD99" s="233">
        <v>128.08000000000001</v>
      </c>
      <c r="FE99" t="s">
        <v>1274</v>
      </c>
      <c r="FG99" s="138" t="str">
        <f>IFERROR(RD[[#This Row],[E_AC (WPR)]]/RD[[#This Row],[E_DC (WPR)]],"")</f>
        <v/>
      </c>
    </row>
    <row r="100" spans="1:163">
      <c r="A100" s="130">
        <f t="shared" si="161"/>
        <v>45840</v>
      </c>
      <c r="B100" s="132">
        <f>YEAR(RD[[#This Row],[Date]])+IF(MONTH(RD[[#This Row],[Date]])&gt;=4,1,0)</f>
        <v>2026</v>
      </c>
      <c r="C100" s="132">
        <f>YEAR(RD[[#This Row],[Date]])</f>
        <v>2025</v>
      </c>
      <c r="D100" s="133">
        <f t="shared" si="165"/>
        <v>45839</v>
      </c>
      <c r="E100" s="132">
        <f>DAY(EOMONTH(RD[[#This Row],[Date]],0))</f>
        <v>31</v>
      </c>
      <c r="F100" s="146">
        <v>0.26041666666666669</v>
      </c>
      <c r="G100" s="156">
        <v>0.79305555555555551</v>
      </c>
      <c r="H100" s="121">
        <v>5489.5</v>
      </c>
      <c r="I100" s="257">
        <v>5494.8</v>
      </c>
      <c r="J100" s="121">
        <v>5116.8</v>
      </c>
      <c r="K100" s="121">
        <v>5102</v>
      </c>
      <c r="L100" s="121">
        <v>5292.2</v>
      </c>
      <c r="M100" s="121">
        <v>5446.9</v>
      </c>
      <c r="N100" s="121">
        <v>5286.9</v>
      </c>
      <c r="O100" s="121">
        <v>5876.1</v>
      </c>
      <c r="P100" s="121">
        <v>5376</v>
      </c>
      <c r="Q100" s="121">
        <v>5245.6</v>
      </c>
      <c r="R100" s="121">
        <v>5378.5</v>
      </c>
      <c r="S100" s="255">
        <v>5467.3</v>
      </c>
      <c r="T100" s="121">
        <v>5638.8</v>
      </c>
      <c r="U100" s="121">
        <v>5352.4</v>
      </c>
      <c r="V100" s="121">
        <v>5537.1</v>
      </c>
      <c r="W100" s="121">
        <v>5328.6</v>
      </c>
      <c r="X100" s="255">
        <v>7534.6</v>
      </c>
      <c r="Y100" s="192">
        <v>8477.1</v>
      </c>
      <c r="Z100" s="192">
        <v>7305.2</v>
      </c>
      <c r="AA100" s="192">
        <v>7660.6</v>
      </c>
      <c r="AB100" s="255">
        <v>8160</v>
      </c>
      <c r="AC100" s="192">
        <v>4931.3999999999996</v>
      </c>
      <c r="AD100" s="192">
        <v>7515.3</v>
      </c>
      <c r="AE100" s="192">
        <v>7734</v>
      </c>
      <c r="AF100" s="255">
        <v>7474.2</v>
      </c>
      <c r="AG100" s="192">
        <v>7532.3</v>
      </c>
      <c r="AH100" s="192">
        <v>7447.3</v>
      </c>
      <c r="AI100" s="255">
        <v>7503.9</v>
      </c>
      <c r="AJ100" s="192">
        <v>6369.2</v>
      </c>
      <c r="AK100" s="255">
        <v>6522</v>
      </c>
      <c r="AL100" s="192">
        <v>6351.6</v>
      </c>
      <c r="AM100" s="255">
        <v>6410.3</v>
      </c>
      <c r="AN100" s="192">
        <v>5785.5</v>
      </c>
      <c r="AO100" s="255">
        <v>5900</v>
      </c>
      <c r="AP100" s="192">
        <v>5887.3</v>
      </c>
      <c r="AQ100" s="255">
        <v>4407.3</v>
      </c>
      <c r="AR100" s="192">
        <v>5215.1000000000004</v>
      </c>
      <c r="AS100" s="255">
        <v>5244.8</v>
      </c>
      <c r="AT100" s="192">
        <v>3874</v>
      </c>
      <c r="AU100" s="255">
        <v>3902.6</v>
      </c>
      <c r="AV100" s="192">
        <v>3940.3</v>
      </c>
      <c r="AW100" s="192">
        <v>3938.7</v>
      </c>
      <c r="AX100" s="192">
        <v>7438.7</v>
      </c>
      <c r="AY100" s="192">
        <v>8307.2999999999993</v>
      </c>
      <c r="AZ100" s="192">
        <v>6007.7</v>
      </c>
      <c r="BA100" s="192">
        <v>7329.1</v>
      </c>
      <c r="BB100" s="192">
        <v>7469</v>
      </c>
      <c r="BC100" s="192">
        <v>7091.7</v>
      </c>
      <c r="BD100" s="192">
        <v>6517.6</v>
      </c>
      <c r="BE100" s="192">
        <v>6989.7</v>
      </c>
      <c r="BF100" s="192">
        <v>8045</v>
      </c>
      <c r="BG100" s="192">
        <v>8216</v>
      </c>
      <c r="BH100" s="192">
        <v>8030.5</v>
      </c>
      <c r="BI100" s="192">
        <v>8336.2999999999993</v>
      </c>
      <c r="BJ100" s="192">
        <v>5553.8</v>
      </c>
      <c r="BK100" s="192">
        <v>4454.3999999999996</v>
      </c>
      <c r="BL100" s="192">
        <v>5416</v>
      </c>
      <c r="BM100" s="192">
        <v>5371.5</v>
      </c>
      <c r="BN100" s="192">
        <v>5849.5</v>
      </c>
      <c r="BO100" s="192">
        <v>5657</v>
      </c>
      <c r="BP100" s="192">
        <v>6187.7</v>
      </c>
      <c r="BQ100" s="192">
        <v>6065.5</v>
      </c>
      <c r="BR100" s="192">
        <v>6223.2</v>
      </c>
      <c r="BS100" s="192">
        <v>6573.9</v>
      </c>
      <c r="BT100" s="192">
        <v>6449.7</v>
      </c>
      <c r="BU100" s="192">
        <v>6915.5</v>
      </c>
      <c r="BV100" s="192">
        <v>5476.9</v>
      </c>
      <c r="BW100" s="192">
        <v>4172.6000000000004</v>
      </c>
      <c r="BX100" s="192">
        <v>4796.3999999999996</v>
      </c>
      <c r="BY100" s="192">
        <v>5386.8</v>
      </c>
      <c r="BZ100" s="192">
        <v>2334.5</v>
      </c>
      <c r="CA100" s="192">
        <v>713</v>
      </c>
      <c r="CB100" s="192">
        <v>5296.5</v>
      </c>
      <c r="CC100" s="192">
        <v>5737.5</v>
      </c>
      <c r="CD100" s="250">
        <v>4.4195128499999976</v>
      </c>
      <c r="CE100" s="250">
        <v>3.9924762500000002</v>
      </c>
      <c r="CF100" s="250">
        <v>3.5275655499999998</v>
      </c>
      <c r="CG100" s="250">
        <v>4.0644706500000058</v>
      </c>
      <c r="CH100" s="250">
        <v>0.53823570000000032</v>
      </c>
      <c r="CI100" s="250">
        <v>0.54318975000000025</v>
      </c>
      <c r="CJ100" s="250">
        <v>0.6919376833333335</v>
      </c>
      <c r="CK100" s="250">
        <v>0.594339216666666</v>
      </c>
      <c r="CL100" s="250">
        <v>26.939322314049654</v>
      </c>
      <c r="CM100" s="250">
        <v>27.041008264462857</v>
      </c>
      <c r="CN100" s="250">
        <v>37.563327272727314</v>
      </c>
      <c r="CO100" s="250">
        <v>34.949607438016514</v>
      </c>
      <c r="CP100" s="250">
        <v>82.440809917355409</v>
      </c>
      <c r="CQ100" s="250">
        <v>81.913892561983602</v>
      </c>
      <c r="CR100" s="250">
        <v>0.10909090909090888</v>
      </c>
      <c r="CS100" s="250">
        <v>0.10909090909090888</v>
      </c>
      <c r="CT100" s="250">
        <v>1.5998404958677692</v>
      </c>
      <c r="CU100" s="250">
        <v>1.7767834710743839</v>
      </c>
      <c r="CV100" s="250">
        <v>3.7829999999999999</v>
      </c>
      <c r="CW100" s="250">
        <v>3.8820000000000001</v>
      </c>
      <c r="CX100" s="193">
        <f>IFERROR(AVERAGEIF(RD[[#This Row],[IS1POA1 (KWh/m2)]:[IS7POA2 (KWh/m2)]],"&lt;&gt;0",RD[[#This Row],[IS1POA1 (KWh/m2)]:[IS7POA2 (KWh/m2)]]),"")</f>
        <v>4.2059945499999989</v>
      </c>
      <c r="CY100" s="193">
        <f>IFERROR(AVERAGEIF(RD[[#This Row],[IS1GHI1 (KWh/m2)]:[IS7GHI2 (KWh/m2)]],"&lt;&gt;0",RD[[#This Row],[IS1GHI1 (KWh/m2)]:[IS7GHI2 (KWh/m2)]]),"")</f>
        <v>3.7960181000000031</v>
      </c>
      <c r="CZ100" s="193">
        <f>IFERROR(AVERAGEIF(RD[[#This Row],[IS1POA_BS1 (KWh/m2)]:[IS7POA_BS2 (KWh/m2)]],"&lt;&gt;0",RD[[#This Row],[IS1POA_BS1 (KWh/m2)]:[IS7POA_BS2 (KWh/m2)]]),"")</f>
        <v>0.54071272500000034</v>
      </c>
      <c r="DA100" s="193">
        <f>IFERROR(AVERAGEIF(RD[[#This Row],[IS1GHI_BS1 (KWh/m2)]:[IS1GHI_BS1 (KWh/m2)2]],"&lt;&gt;0",RD[[#This Row],[IS1GHI_BS1 (KWh/m2)]:[IS1GHI_BS1 (KWh/m2)2]]),"")</f>
        <v>0.6431384499999997</v>
      </c>
      <c r="DB100" s="193">
        <f>IFERROR(AVERAGEIF(RD[[#This Row],[IS1AT1 (°C)]:[IS7AT2 (°C)]],"&lt;&gt;0",RD[[#This Row],[IS1AT1 (°C)]:[IS7AT2 (°C)]]),"")</f>
        <v>26.990165289256254</v>
      </c>
      <c r="DC100" s="193">
        <f>IFERROR(AVERAGEIF(RD[[#This Row],[IS1MT1 (°C)]:[IS7MT2 (°C)]],"&lt;&gt;0",RD[[#This Row],[IS1MT1 (°C)]:[IS7MT2 (°C)]]),"")</f>
        <v>36.25646735537191</v>
      </c>
      <c r="DD100" s="193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193">
        <f>IFERROR(AVERAGEIF(RD[[#This Row],[WS_Solar1_Avg (m/s)]:[IS7_WS_Solar1_Avg (m/s)]],"&lt;&gt;0",RD[[#This Row],[WS_Solar1_Avg (m/s)]:[IS7_WS_Solar1_Avg (m/s)]]),"")</f>
        <v>1.6883119834710767</v>
      </c>
      <c r="DG100" s="193">
        <f>IFERROR(AVERAGEIF(RD[[#This Row],[WS_Solar1_Max (m/s)]:[IS7_WS_Solar1_Max (m/s)]],"&lt;&gt;0",RD[[#This Row],[WS_Solar1_Max (m/s)]:[IS7_WS_Solar1_Max (m/s)]]),"")</f>
        <v>3.8325</v>
      </c>
      <c r="DH100" s="193">
        <f>SUM(RD[[#This Row],[IS1Inv1M1]:[IS4Inv4M2]])</f>
        <v>175705.4</v>
      </c>
      <c r="DI100" s="194">
        <f>SUM(RD[[#This Row],[IS7Inv1M1]]+RD[[#This Row],[IS7Inv2M1]])</f>
        <v>10459.900000000001</v>
      </c>
      <c r="DJ100" s="193">
        <f>SUM(RD[[#This Row],[IS5Inv1M1]:[IS5Inv2M2]])</f>
        <v>25653.100000000002</v>
      </c>
      <c r="DK100" s="193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75">
        <f>SUM(RD[[#This Row],[IS12Inv1M1]:[IS12Inv1M4]])</f>
        <v>23759.7</v>
      </c>
      <c r="DO100" s="275">
        <f>SUM(RD[[#This Row],[IS13Inv1M1]:[IS13Inv2M2]])</f>
        <v>26162.3</v>
      </c>
      <c r="DP100" s="193">
        <f>SUM(RD[[#This Row],[O2R15]:[O2R26]])</f>
        <v>443864.6</v>
      </c>
      <c r="DQ100" s="158">
        <v>44893.4</v>
      </c>
      <c r="DR100" s="162">
        <v>227</v>
      </c>
      <c r="DS100" s="158">
        <v>39224.1</v>
      </c>
      <c r="DT100" s="158">
        <v>238.8</v>
      </c>
      <c r="DU100" s="162">
        <v>46271.7</v>
      </c>
      <c r="DV100" s="162">
        <v>442.2</v>
      </c>
      <c r="DW100" s="158">
        <v>10626.4</v>
      </c>
      <c r="DX100" s="162">
        <v>55.6</v>
      </c>
      <c r="DY100" s="162">
        <v>3763.6</v>
      </c>
      <c r="DZ100" s="162">
        <v>18.8</v>
      </c>
      <c r="EA100" s="134">
        <v>106.82</v>
      </c>
      <c r="EB100" s="230">
        <v>148764606</v>
      </c>
      <c r="EC100" s="229">
        <v>1052034.368</v>
      </c>
      <c r="ED100" s="230">
        <v>1263</v>
      </c>
      <c r="EE100" s="230">
        <v>142971</v>
      </c>
      <c r="EF100" s="158">
        <v>206256.7</v>
      </c>
      <c r="EG100" s="158">
        <v>2026.3</v>
      </c>
      <c r="EH100" s="140">
        <f>IF((RD[[#This Row],[33 kV_F3_Ex
Incomer1]]-DQ99)*1000&lt;0,0,(RD[[#This Row],[33 kV_F3_Ex
Incomer1]]-DQ99)*1000)</f>
        <v>88900.000000001455</v>
      </c>
      <c r="EI100" s="140">
        <f>IF((RD[[#This Row],[34 kV_F3_Im
Incomer1]]-DR99)*1000&lt;0,0,(RD[[#This Row],[34 kV_F3_Im
Incomer1]]-DR99)*1000)</f>
        <v>400.00000000000568</v>
      </c>
      <c r="EJ100" s="140">
        <f>IF((RD[[#This Row],[33 kV_F4_Ex
Incomer2]]-DS99)*1000&lt;0,0,(RD[[#This Row],[33 kV_F4_Ex
Incomer2]]-DS99)*1000)</f>
        <v>82299.999999995634</v>
      </c>
      <c r="EK100" s="140">
        <f>IF((RD[[#This Row],[34 kV_F4_Im
Incomer2]]-DT99)*1000&lt;0,0,(RD[[#This Row],[34 kV_F4_Im
Incomer2]]-DT99)*1000)</f>
        <v>300.00000000001137</v>
      </c>
      <c r="EL100" s="140">
        <f>IF((RD[[#This Row],[33 kV_F5_Ex
Incomer3]]-DU99)*1000&lt;0,0,(RD[[#This Row],[33 kV_F5_Ex
Incomer3]]-DU99)*1000)</f>
        <v>102299.99999999563</v>
      </c>
      <c r="EM100" s="140">
        <f>IF((RD[[#This Row],[34 kV_F5_Im
Incomer3]]-DV99)*1000&lt;0,0,(RD[[#This Row],[34 kV_F5_Im
Incomer3]]-DV99)*1000)</f>
        <v>1300.0000000000114</v>
      </c>
      <c r="EN100" s="140">
        <f>IF((RD[[#This Row],[33 kV_F6_Ex
Incomer4]]-DW99)*1000&lt;0,0,(RD[[#This Row],[33 kV_F6_Ex
Incomer4]]-DW99)*1000)</f>
        <v>33600.000000000364</v>
      </c>
      <c r="EO100" s="140">
        <f t="shared" si="166"/>
        <v>300.00000000001137</v>
      </c>
      <c r="EP100" s="140">
        <f>IF((RD[[#This Row],[33 kV_F7_Ex
Incomer5]]-DY99)*1000&lt;0,0,(RD[[#This Row],[33 kV_F7_Ex
Incomer5]]-DY99)*1000)</f>
        <v>110400.00000000009</v>
      </c>
      <c r="EQ100" s="140">
        <f>IF((RD[[#This Row],[33 kV_F7_Im
Incomer5]]-DZ99)*1000&lt;0,0,(RD[[#This Row],[33 kV_F7_Im
Incomer5]]-DZ99)*1000)</f>
        <v>500</v>
      </c>
      <c r="ER100" s="140">
        <f>IF((RD[[#This Row],[33 kV_Aux Trafo]]-EA99)*1000&lt;0,0,(RD[[#This Row],[33 kV_Aux Trafo]]-EA99)*1000)</f>
        <v>250</v>
      </c>
      <c r="ES100" s="152">
        <f>IF((RD[[#This Row],[33kV_OG1_Ex_]]-EB99)*1&lt;0,0,(RD[[#This Row],[33kV_OG1_Ex_]]-EB99)*1)</f>
        <v>439976</v>
      </c>
      <c r="ET100" s="140">
        <f>IF((RD[[#This Row],[33kV_OG1_Im]]-EC99)*1&lt;0,0,(RD[[#This Row],[33kV_OG1_Im]]-EC99)*1)</f>
        <v>2879.6159999999218</v>
      </c>
      <c r="EU100" s="140">
        <f>IF((RD[[#This Row],[132kV_TX1_EX]]-ED99)*720&lt;=0,"",(RD[[#This Row],[132kV_TX1_EX]]-ED99)*720)</f>
        <v>2880</v>
      </c>
      <c r="EV100" s="140">
        <f>IF((RD[[#This Row],[132 kV_Tx1_Im]]-EE99)*720&lt;=0,0,(RD[[#This Row],[132 kV_Tx1_Im]]-EE99)*720)</f>
        <v>315360</v>
      </c>
      <c r="EW100" s="140">
        <f>IF((RD[[#This Row],[132kV_L1_Ex]]-EF99)*720&lt;=0,0,(RD[[#This Row],[132kV_L1_Ex]]-EF99)*720)</f>
        <v>438696.00000001257</v>
      </c>
      <c r="EX100" s="140">
        <f>IF((RD[[#This Row],[132kV_L1_Im]]-EG99)*720&lt;=0,0,(RD[[#This Row],[132kV_L1_Im]]-EG99)*720)</f>
        <v>3384.0000000000327</v>
      </c>
      <c r="EY100" s="231">
        <f>IFERROR(RD[[#This Row],[33kV_OG1_Ex (MWh)]]+RD[[#This Row],[33kV_OG1_Im (MWh)]],"")</f>
        <v>442855.61599999992</v>
      </c>
      <c r="EZ100" s="142">
        <f>RD[[#This Row],[33kV_OG1_Ex (MWh)]]-RD[[#This Row],[33kV_OG1_Im (MWh)]]</f>
        <v>437096.38400000008</v>
      </c>
      <c r="FA100" s="142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32">
        <f>IFERROR((RD[[#This Row],[Sunset Time (POA&lt;20 W/m2)]]-RD[[#This Row],[Sunrise Time (POA&gt;20 W/m2)]])*24,0)</f>
        <v>12.783333333333333</v>
      </c>
      <c r="FD100" s="233">
        <v>128.08000000000001</v>
      </c>
      <c r="FE100" t="s">
        <v>1273</v>
      </c>
      <c r="FG100" s="138" t="str">
        <f>IFERROR(RD[[#This Row],[E_AC (WPR)]]/RD[[#This Row],[E_DC (WPR)]],"")</f>
        <v/>
      </c>
    </row>
    <row r="101" spans="1:163">
      <c r="A101" s="130">
        <f>A100+1</f>
        <v>45841</v>
      </c>
      <c r="B101" s="132">
        <f>YEAR(RD[[#This Row],[Date]])+IF(MONTH(RD[[#This Row],[Date]])&gt;=4,1,0)</f>
        <v>2026</v>
      </c>
      <c r="C101" s="132">
        <f>YEAR(RD[[#This Row],[Date]])</f>
        <v>2025</v>
      </c>
      <c r="D101" s="133">
        <f>A101-DAY(A101)+1</f>
        <v>45839</v>
      </c>
      <c r="E101" s="132">
        <f>DAY(EOMONTH(RD[[#This Row],[Date]],0))</f>
        <v>31</v>
      </c>
      <c r="F101" s="146">
        <v>0.25069444444444444</v>
      </c>
      <c r="G101" s="156">
        <v>0.77500000000000002</v>
      </c>
      <c r="H101" s="121">
        <v>5427.4</v>
      </c>
      <c r="I101" s="257">
        <v>5441.5</v>
      </c>
      <c r="J101" s="121">
        <v>5060.8999999999996</v>
      </c>
      <c r="K101" s="121">
        <v>5030</v>
      </c>
      <c r="L101" s="121">
        <v>5215.7</v>
      </c>
      <c r="M101" s="121">
        <v>5372.4</v>
      </c>
      <c r="N101" s="121">
        <v>5219</v>
      </c>
      <c r="O101" s="121">
        <v>5751.5</v>
      </c>
      <c r="P101" s="121">
        <v>5363</v>
      </c>
      <c r="Q101" s="121">
        <v>5210.3999999999996</v>
      </c>
      <c r="R101" s="121">
        <v>5365.6</v>
      </c>
      <c r="S101" s="255">
        <v>5455.2</v>
      </c>
      <c r="T101" s="121">
        <v>5613.7</v>
      </c>
      <c r="U101" s="121">
        <v>5383.9</v>
      </c>
      <c r="V101" s="121">
        <v>5537.6</v>
      </c>
      <c r="W101" s="121">
        <v>5322</v>
      </c>
      <c r="X101" s="283">
        <v>7521.7</v>
      </c>
      <c r="Y101" s="192">
        <v>8502.5</v>
      </c>
      <c r="Z101" s="192">
        <v>7297.4</v>
      </c>
      <c r="AA101" s="192">
        <v>7663.6</v>
      </c>
      <c r="AB101" s="283">
        <v>8376.5</v>
      </c>
      <c r="AC101" s="192">
        <v>5074.3999999999996</v>
      </c>
      <c r="AD101" s="192">
        <v>7754.4</v>
      </c>
      <c r="AE101" s="192">
        <v>7916.7</v>
      </c>
      <c r="AF101" s="283">
        <v>7628.2</v>
      </c>
      <c r="AG101" s="192">
        <v>7646.4</v>
      </c>
      <c r="AH101" s="192">
        <v>7609.3</v>
      </c>
      <c r="AI101" s="283">
        <v>7651.2</v>
      </c>
      <c r="AJ101" s="136">
        <v>6712</v>
      </c>
      <c r="AK101" s="136">
        <v>6901</v>
      </c>
      <c r="AL101" s="136">
        <v>6736.1</v>
      </c>
      <c r="AM101" s="136">
        <v>6781.3</v>
      </c>
      <c r="AN101" s="136">
        <v>6802.8</v>
      </c>
      <c r="AO101" s="136">
        <v>6997.9</v>
      </c>
      <c r="AP101" s="136">
        <v>6939.9</v>
      </c>
      <c r="AQ101" s="136">
        <v>6819.2</v>
      </c>
      <c r="AR101" s="136">
        <v>5462.1</v>
      </c>
      <c r="AS101" s="136">
        <v>5518.1</v>
      </c>
      <c r="AT101" s="136">
        <v>5474.7</v>
      </c>
      <c r="AU101" s="136">
        <v>5460.9</v>
      </c>
      <c r="AV101" s="136">
        <v>5522.3</v>
      </c>
      <c r="AW101" s="136">
        <v>5486.7</v>
      </c>
      <c r="AX101" s="136">
        <v>7864.9</v>
      </c>
      <c r="AY101" s="136">
        <v>8866.2000000000007</v>
      </c>
      <c r="AZ101" s="136">
        <v>6484.2</v>
      </c>
      <c r="BA101" s="136">
        <v>7844</v>
      </c>
      <c r="BB101" s="136">
        <v>7598.6</v>
      </c>
      <c r="BC101" s="136">
        <v>7283.7</v>
      </c>
      <c r="BD101" s="136">
        <v>6796.8</v>
      </c>
      <c r="BE101" s="136">
        <v>6480.4</v>
      </c>
      <c r="BF101" s="136">
        <v>8083.6</v>
      </c>
      <c r="BG101" s="136">
        <v>8219.4</v>
      </c>
      <c r="BH101" s="136">
        <v>8099.5</v>
      </c>
      <c r="BI101" s="136">
        <v>8359.4</v>
      </c>
      <c r="BJ101" s="136">
        <v>5464.9</v>
      </c>
      <c r="BK101" s="136">
        <v>4369.3999999999996</v>
      </c>
      <c r="BL101" s="136">
        <v>5294.4</v>
      </c>
      <c r="BM101" s="136">
        <v>5250.4</v>
      </c>
      <c r="BN101" s="136">
        <v>5779.7</v>
      </c>
      <c r="BO101" s="136">
        <v>5562.6</v>
      </c>
      <c r="BP101" s="136">
        <v>6074.5</v>
      </c>
      <c r="BQ101" s="136">
        <v>5960.1</v>
      </c>
      <c r="BR101" s="136">
        <v>6098.2</v>
      </c>
      <c r="BS101" s="136">
        <v>6519</v>
      </c>
      <c r="BT101" s="136">
        <v>6307</v>
      </c>
      <c r="BU101" s="136">
        <v>6786.4</v>
      </c>
      <c r="BV101" s="136">
        <v>5531.1</v>
      </c>
      <c r="BW101" s="136">
        <v>5133.3999999999996</v>
      </c>
      <c r="BX101" s="136">
        <v>4834.1000000000004</v>
      </c>
      <c r="BY101" s="136">
        <v>5445.4</v>
      </c>
      <c r="BZ101" s="136">
        <v>2460.3000000000002</v>
      </c>
      <c r="CA101" s="136">
        <v>722.7</v>
      </c>
      <c r="CB101" s="136">
        <v>5257.1</v>
      </c>
      <c r="CC101" s="136">
        <v>5658.3</v>
      </c>
      <c r="CD101" s="195">
        <v>4.2928790166666699</v>
      </c>
      <c r="CE101" s="59">
        <v>4.1966741166666637</v>
      </c>
      <c r="CF101" s="195">
        <v>3.3767194999999957</v>
      </c>
      <c r="CG101" s="195">
        <v>4.2045044666666636</v>
      </c>
      <c r="CH101" s="195">
        <v>0.46469108333333287</v>
      </c>
      <c r="CI101" s="195">
        <v>0.56213841666666686</v>
      </c>
      <c r="CJ101" s="59">
        <v>0.66393259999999865</v>
      </c>
      <c r="CK101" s="59">
        <v>0.6083719999999998</v>
      </c>
      <c r="CL101" s="195">
        <v>27.519025641025667</v>
      </c>
      <c r="CM101" s="195">
        <v>26.430102564102562</v>
      </c>
      <c r="CN101" s="195">
        <v>38.188204273504276</v>
      </c>
      <c r="CO101" s="195">
        <v>35.419642735042743</v>
      </c>
      <c r="CP101" s="195">
        <v>88.188051282051305</v>
      </c>
      <c r="CQ101" s="195">
        <v>88.84670940170929</v>
      </c>
      <c r="CR101" s="195">
        <v>1.0256410256410248E-2</v>
      </c>
      <c r="CS101" s="59">
        <v>1.0256410256410249E-2</v>
      </c>
      <c r="CT101" s="195">
        <v>0.99770769230769074</v>
      </c>
      <c r="CU101" s="195">
        <v>1.1033974358974363</v>
      </c>
      <c r="CV101" s="195">
        <v>3.3</v>
      </c>
      <c r="CW101" s="247">
        <v>3.339</v>
      </c>
      <c r="CX101" s="193">
        <f>IFERROR(AVERAGEIF(RD[[#This Row],[IS1POA1 (KWh/m2)]:[IS7POA2 (KWh/m2)]],"&lt;&gt;0",RD[[#This Row],[IS1POA1 (KWh/m2)]:[IS7POA2 (KWh/m2)]]),"")</f>
        <v>4.2447765666666673</v>
      </c>
      <c r="CY101" s="193">
        <f>IFERROR(AVERAGEIF(RD[[#This Row],[IS1GHI1 (KWh/m2)]:[IS7GHI2 (KWh/m2)]],"&lt;&gt;0",RD[[#This Row],[IS1GHI1 (KWh/m2)]:[IS7GHI2 (KWh/m2)]]),"")</f>
        <v>3.7906119833333296</v>
      </c>
      <c r="CZ101" s="193">
        <f>IFERROR(AVERAGEIF(RD[[#This Row],[IS1POA_BS1 (KWh/m2)]:[IS7POA_BS2 (KWh/m2)]],"&lt;&gt;0",RD[[#This Row],[IS1POA_BS1 (KWh/m2)]:[IS7POA_BS2 (KWh/m2)]]),"")</f>
        <v>0.51341474999999992</v>
      </c>
      <c r="DA101" s="193">
        <f>IFERROR(AVERAGEIF(RD[[#This Row],[IS1GHI_BS1 (KWh/m2)]:[IS1GHI_BS1 (KWh/m2)2]],"&lt;&gt;0",RD[[#This Row],[IS1GHI_BS1 (KWh/m2)]:[IS1GHI_BS1 (KWh/m2)2]]),"")</f>
        <v>0.63615229999999923</v>
      </c>
      <c r="DB101" s="193">
        <f>IFERROR(AVERAGEIF(RD[[#This Row],[IS1AT1 (°C)]:[IS7AT2 (°C)]],"&lt;&gt;0",RD[[#This Row],[IS1AT1 (°C)]:[IS7AT2 (°C)]]),"")</f>
        <v>26.974564102564116</v>
      </c>
      <c r="DC101" s="193">
        <f>IFERROR(AVERAGEIF(RD[[#This Row],[IS1MT1 (°C)]:[IS7MT2 (°C)]],"&lt;&gt;0",RD[[#This Row],[IS1MT1 (°C)]:[IS7MT2 (°C)]]),"")</f>
        <v>36.803923504273513</v>
      </c>
      <c r="DD101" s="193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193">
        <f>IFERROR(AVERAGEIF(RD[[#This Row],[WS_Solar1_Avg (m/s)]:[IS7_WS_Solar1_Avg (m/s)]],"&lt;&gt;0",RD[[#This Row],[WS_Solar1_Avg (m/s)]:[IS7_WS_Solar1_Avg (m/s)]]),"")</f>
        <v>1.0505525641025635</v>
      </c>
      <c r="DG101" s="193">
        <f>IFERROR(AVERAGEIF(RD[[#This Row],[WS_Solar1_Max (m/s)]:[IS7_WS_Solar1_Max (m/s)]],"&lt;&gt;0",RD[[#This Row],[WS_Solar1_Max (m/s)]:[IS7_WS_Solar1_Max (m/s)]]),"")</f>
        <v>3.3194999999999997</v>
      </c>
      <c r="DH101" s="193">
        <f>SUM(RD[[#This Row],[IS1Inv1M1]:[IS4Inv4M2]])</f>
        <v>176412.1</v>
      </c>
      <c r="DI101" s="194">
        <f>SUM(RD[[#This Row],[IS7Inv1M1]]+RD[[#This Row],[IS7Inv2M1]])</f>
        <v>10980.2</v>
      </c>
      <c r="DJ101" s="193">
        <f>SUM(RD[[#This Row],[IS5Inv1M1]:[IS5Inv2M2]])</f>
        <v>27130.399999999998</v>
      </c>
      <c r="DK101" s="193">
        <f>SUM(RD[[#This Row],[IS8Inv1M1]:[IS9Inv2M2]])</f>
        <v>53003.899999999994</v>
      </c>
      <c r="DL101" s="60">
        <f>SUM(RD[[#This Row],[IS6Inv1M1]:[IS6Inv2M2]])</f>
        <v>27559.8</v>
      </c>
      <c r="DM101" s="275">
        <f>SUM(RD[[#This Row],[IS10Inv1M1]:[IS11Inv1M4]],RD[[#This Row],[IS14Inv1M1]:[IS14Inv2M4]])</f>
        <v>116342.9</v>
      </c>
      <c r="DN101" s="275">
        <f>SUM(RD[[#This Row],[IS12Inv1M1]:[IS12Inv1M4]])</f>
        <v>23376.9</v>
      </c>
      <c r="DO101" s="275">
        <f>SUM(RD[[#This Row],[IS13Inv1M1]:[IS13Inv2M2]])</f>
        <v>25710.6</v>
      </c>
      <c r="DP101" s="193">
        <f>SUM(RD[[#This Row],[O2R15]:[O2R26]])</f>
        <v>460516.79999999993</v>
      </c>
      <c r="DQ101" s="158">
        <v>44983.6</v>
      </c>
      <c r="DR101" s="162">
        <v>227.4</v>
      </c>
      <c r="DS101" s="158">
        <v>39305.800000000003</v>
      </c>
      <c r="DT101" s="158">
        <v>239.1</v>
      </c>
      <c r="DU101" s="162">
        <v>46389.4</v>
      </c>
      <c r="DV101" s="162">
        <v>443.5</v>
      </c>
      <c r="DW101" s="158">
        <v>10661.1</v>
      </c>
      <c r="DX101" s="162">
        <v>55.8</v>
      </c>
      <c r="DY101" s="162">
        <v>3872.9</v>
      </c>
      <c r="DZ101" s="162">
        <v>19.399999999999999</v>
      </c>
      <c r="EA101" s="134">
        <v>107.05</v>
      </c>
      <c r="EB101" s="230">
        <v>149220737</v>
      </c>
      <c r="EC101" s="229">
        <v>1055073.8559999999</v>
      </c>
      <c r="ED101" s="230">
        <v>1266</v>
      </c>
      <c r="EE101" s="230">
        <v>143425</v>
      </c>
      <c r="EF101" s="158">
        <v>206888.3</v>
      </c>
      <c r="EG101" s="158">
        <v>2031.1</v>
      </c>
      <c r="EH101" s="140">
        <f>IF((RD[[#This Row],[33 kV_F3_Ex
Incomer1]]-DQ100)*1000&lt;0,0,(RD[[#This Row],[33 kV_F3_Ex
Incomer1]]-DQ100)*1000)</f>
        <v>90199.99999999709</v>
      </c>
      <c r="EI101" s="140">
        <f>IF((RD[[#This Row],[34 kV_F3_Im
Incomer1]]-DR100)*1000&lt;0,0,(RD[[#This Row],[34 kV_F3_Im
Incomer1]]-DR100)*1000)</f>
        <v>400.00000000000568</v>
      </c>
      <c r="EJ101" s="140">
        <f>IF((RD[[#This Row],[33 kV_F4_Ex
Incomer2]]-DS100)*1000&lt;0,0,(RD[[#This Row],[33 kV_F4_Ex
Incomer2]]-DS100)*1000)</f>
        <v>81700.000000004366</v>
      </c>
      <c r="EK101" s="140">
        <f>IF((RD[[#This Row],[34 kV_F4_Im
Incomer2]]-DT100)*1000&lt;0,0,(RD[[#This Row],[34 kV_F4_Im
Incomer2]]-DT100)*1000)</f>
        <v>299.99999999998295</v>
      </c>
      <c r="EL101" s="140">
        <f>IF((RD[[#This Row],[33 kV_F5_Ex
Incomer3]]-DU100)*1000&lt;0,0,(RD[[#This Row],[33 kV_F5_Ex
Incomer3]]-DU100)*1000)</f>
        <v>117700.00000000437</v>
      </c>
      <c r="EM101" s="140">
        <f>IF((RD[[#This Row],[34 kV_F5_Im
Incomer3]]-DV100)*1000&lt;0,0,(RD[[#This Row],[34 kV_F5_Im
Incomer3]]-DV100)*1000)</f>
        <v>1300.0000000000114</v>
      </c>
      <c r="EN101" s="140">
        <f>IF((RD[[#This Row],[33 kV_F6_Ex
Incomer4]]-DW100)*1000&lt;0,0,(RD[[#This Row],[33 kV_F6_Ex
Incomer4]]-DW100)*1000)</f>
        <v>34700.000000000728</v>
      </c>
      <c r="EO101" s="140">
        <f t="shared" si="166"/>
        <v>299.99999999998295</v>
      </c>
      <c r="EP101" s="140">
        <f>IF((RD[[#This Row],[33 kV_F7_Ex
Incomer5]]-DY100)*1000&lt;0,0,(RD[[#This Row],[33 kV_F7_Ex
Incomer5]]-DY100)*1000)</f>
        <v>109300.00000000017</v>
      </c>
      <c r="EQ101" s="140">
        <f>IF((RD[[#This Row],[33 kV_F7_Im
Incomer5]]-DZ100)*1000&lt;0,0,(RD[[#This Row],[33 kV_F7_Im
Incomer5]]-DZ100)*1000)</f>
        <v>599.99999999999784</v>
      </c>
      <c r="ER101" s="140">
        <f>IF((RD[[#This Row],[33 kV_Aux Trafo]]-EA100)*1000&lt;0,0,(RD[[#This Row],[33 kV_Aux Trafo]]-EA100)*1000)</f>
        <v>230.00000000000398</v>
      </c>
      <c r="ES101" s="152">
        <f>IF((RD[[#This Row],[33kV_OG1_Ex_]]-EB100)*1&lt;0,0,(RD[[#This Row],[33kV_OG1_Ex_]]-EB100)*1)</f>
        <v>456131</v>
      </c>
      <c r="ET101" s="140">
        <f>IF((RD[[#This Row],[33kV_OG1_Im]]-EC100)*1&lt;0,0,(RD[[#This Row],[33kV_OG1_Im]]-EC100)*1)</f>
        <v>3039.4879999998957</v>
      </c>
      <c r="EU101" s="140">
        <f>IF((RD[[#This Row],[132kV_TX1_EX]]-ED100)*720&lt;=0,"",(RD[[#This Row],[132kV_TX1_EX]]-ED100)*720)</f>
        <v>2160</v>
      </c>
      <c r="EV101" s="140">
        <f>IF((RD[[#This Row],[132 kV_Tx1_Im]]-EE100)*720&lt;=0,0,(RD[[#This Row],[132 kV_Tx1_Im]]-EE100)*720)</f>
        <v>326880</v>
      </c>
      <c r="EW101" s="140">
        <f>IF((RD[[#This Row],[132kV_L1_Ex]]-EF100)*720&lt;=0,0,(RD[[#This Row],[132kV_L1_Ex]]-EF100)*720)</f>
        <v>454751.99999998324</v>
      </c>
      <c r="EX101" s="140">
        <f>IF((RD[[#This Row],[132kV_L1_Im]]-EG100)*720&lt;=0,0,(RD[[#This Row],[132kV_L1_Im]]-EG100)*720)</f>
        <v>3455.9999999999673</v>
      </c>
      <c r="EY101" s="231">
        <f>IFERROR(RD[[#This Row],[33kV_OG1_Ex (MWh)]]+RD[[#This Row],[33kV_OG1_Im (MWh)]],"")</f>
        <v>459170.4879999999</v>
      </c>
      <c r="EZ101" s="142">
        <f>RD[[#This Row],[33kV_OG1_Ex (MWh)]]-RD[[#This Row],[33kV_OG1_Im (MWh)]]</f>
        <v>453091.5120000001</v>
      </c>
      <c r="FA101" s="142">
        <f>IFERROR(RD[[#This Row],[132kV_L1_Ex(MWh)]]-RD[[#This Row],[132kV_L1_Im(MWh)]],"")</f>
        <v>451295.99999998329</v>
      </c>
      <c r="FB101" s="286">
        <f>IFERROR(RD[[#This Row],[33kV_Ex(MWh)]]/RD[[#This Row],[Inv Total Gneration (MWh)]]-1,"")</f>
        <v>-2.9234807503223381E-3</v>
      </c>
      <c r="FC101" s="232">
        <f>IFERROR((RD[[#This Row],[Sunset Time (POA&lt;20 W/m2)]]-RD[[#This Row],[Sunrise Time (POA&gt;20 W/m2)]])*24,0)</f>
        <v>12.583333333333334</v>
      </c>
      <c r="FD101" s="233">
        <v>128.08000000000001</v>
      </c>
      <c r="FE101" s="305" t="s">
        <v>297</v>
      </c>
      <c r="FG101" s="138" t="str">
        <f>IFERROR(RD[[#This Row],[E_AC (WPR)]]/RD[[#This Row],[E_DC (WPR)]],"")</f>
        <v/>
      </c>
    </row>
    <row r="102" spans="1:163">
      <c r="A102" s="130">
        <f>A101+1</f>
        <v>45842</v>
      </c>
      <c r="B102" s="132">
        <f>YEAR(RD[[#This Row],[Date]])+IF(MONTH(RD[[#This Row],[Date]])&gt;=4,1,0)</f>
        <v>2026</v>
      </c>
      <c r="C102" s="132">
        <f>YEAR(RD[[#This Row],[Date]])</f>
        <v>2025</v>
      </c>
      <c r="D102" s="133">
        <f>A102-DAY(A102)+1</f>
        <v>45839</v>
      </c>
      <c r="E102" s="132">
        <f>DAY(EOMONTH(RD[[#This Row],[Date]],0))</f>
        <v>31</v>
      </c>
      <c r="F102" s="146">
        <v>0.25763888888888886</v>
      </c>
      <c r="G102" s="156">
        <v>0.7729166666666667</v>
      </c>
      <c r="H102" s="121">
        <v>4533.8</v>
      </c>
      <c r="I102" s="257">
        <v>4495</v>
      </c>
      <c r="J102" s="121">
        <v>4188.7</v>
      </c>
      <c r="K102" s="121">
        <v>4260.2</v>
      </c>
      <c r="L102" s="121">
        <v>4436.3</v>
      </c>
      <c r="M102" s="121">
        <v>4567.2</v>
      </c>
      <c r="N102" s="121">
        <v>4407.2</v>
      </c>
      <c r="O102" s="121">
        <v>4882</v>
      </c>
      <c r="P102" s="121">
        <v>4464.8</v>
      </c>
      <c r="Q102" s="121">
        <v>4382.3</v>
      </c>
      <c r="R102" s="121">
        <v>4469.8</v>
      </c>
      <c r="S102" s="255">
        <v>4523</v>
      </c>
      <c r="T102" s="121">
        <v>4638.6000000000004</v>
      </c>
      <c r="U102" s="121">
        <v>4436.3</v>
      </c>
      <c r="V102" s="121">
        <v>4589.8999999999996</v>
      </c>
      <c r="W102" s="121">
        <v>4378.8999999999996</v>
      </c>
      <c r="X102" s="283">
        <v>6177.9</v>
      </c>
      <c r="Y102" s="192">
        <v>7001.1</v>
      </c>
      <c r="Z102" s="192">
        <v>6008.3</v>
      </c>
      <c r="AA102" s="192">
        <v>6289.2</v>
      </c>
      <c r="AB102" s="283">
        <v>6733.6</v>
      </c>
      <c r="AC102" s="192">
        <v>4080.5</v>
      </c>
      <c r="AD102" s="192">
        <v>6250.6</v>
      </c>
      <c r="AE102" s="192">
        <v>6399.6</v>
      </c>
      <c r="AF102" s="283">
        <v>6193.8</v>
      </c>
      <c r="AG102" s="192">
        <v>6218</v>
      </c>
      <c r="AH102" s="192">
        <v>6189.1</v>
      </c>
      <c r="AI102" s="283">
        <v>6231.5</v>
      </c>
      <c r="AJ102" s="136">
        <v>5234.3</v>
      </c>
      <c r="AK102" s="136">
        <v>5421.8</v>
      </c>
      <c r="AL102" s="136">
        <v>5328.5</v>
      </c>
      <c r="AM102" s="136">
        <v>5373.1</v>
      </c>
      <c r="AN102" s="136">
        <v>5334.4</v>
      </c>
      <c r="AO102" s="136">
        <v>5524.9</v>
      </c>
      <c r="AP102" s="136">
        <v>5443</v>
      </c>
      <c r="AQ102" s="136">
        <v>5363</v>
      </c>
      <c r="AR102" s="136">
        <v>4300.5</v>
      </c>
      <c r="AS102" s="136">
        <v>4326.8</v>
      </c>
      <c r="AT102" s="136">
        <v>4352.8</v>
      </c>
      <c r="AU102" s="136">
        <v>4313.6000000000004</v>
      </c>
      <c r="AV102" s="136">
        <v>4414.1000000000004</v>
      </c>
      <c r="AW102" s="136">
        <v>4335</v>
      </c>
      <c r="AX102" s="136">
        <v>6152.5</v>
      </c>
      <c r="AY102" s="136">
        <v>6977.5</v>
      </c>
      <c r="AZ102" s="136">
        <v>5027.8999999999996</v>
      </c>
      <c r="BA102" s="136">
        <v>6142.8</v>
      </c>
      <c r="BB102" s="136">
        <v>6296.4</v>
      </c>
      <c r="BC102" s="136">
        <v>6022.9</v>
      </c>
      <c r="BD102" s="136">
        <v>5358.8</v>
      </c>
      <c r="BE102" s="136">
        <v>4255.3</v>
      </c>
      <c r="BF102" s="136">
        <v>6495.8</v>
      </c>
      <c r="BG102" s="136">
        <v>6556.8</v>
      </c>
      <c r="BH102" s="136">
        <v>6416</v>
      </c>
      <c r="BI102" s="136">
        <v>6602</v>
      </c>
      <c r="BJ102" s="136">
        <v>4242</v>
      </c>
      <c r="BK102" s="136">
        <v>3373</v>
      </c>
      <c r="BL102" s="136">
        <v>4070.3</v>
      </c>
      <c r="BM102" s="136">
        <v>4032</v>
      </c>
      <c r="BN102" s="136">
        <v>4505.2</v>
      </c>
      <c r="BO102" s="136">
        <v>4255.8999999999996</v>
      </c>
      <c r="BP102" s="136">
        <v>4726.7</v>
      </c>
      <c r="BQ102" s="136">
        <v>4645.7</v>
      </c>
      <c r="BR102" s="136">
        <v>4668.8</v>
      </c>
      <c r="BS102" s="136">
        <v>5024.6000000000004</v>
      </c>
      <c r="BT102" s="136">
        <v>4880.5</v>
      </c>
      <c r="BU102" s="136">
        <v>5236.3</v>
      </c>
      <c r="BV102" s="136">
        <v>3893.8</v>
      </c>
      <c r="BW102" s="136">
        <v>3919.2</v>
      </c>
      <c r="BX102" s="136">
        <v>3654.3</v>
      </c>
      <c r="BY102" s="136">
        <v>4156.3999999999996</v>
      </c>
      <c r="BZ102" s="136">
        <v>1842.9</v>
      </c>
      <c r="CA102" s="136">
        <v>514.9</v>
      </c>
      <c r="CB102" s="136">
        <v>4010</v>
      </c>
      <c r="CC102" s="136">
        <v>4334.1000000000004</v>
      </c>
      <c r="CD102" s="195">
        <v>3.5620863333333368</v>
      </c>
      <c r="CE102" s="59">
        <v>3.2079110500000034</v>
      </c>
      <c r="CF102" s="195">
        <v>2.7946593166666647</v>
      </c>
      <c r="CG102" s="195">
        <v>3.161724549999998</v>
      </c>
      <c r="CH102" s="195">
        <v>0.37876379999999982</v>
      </c>
      <c r="CI102" s="195">
        <v>0.44181958333333371</v>
      </c>
      <c r="CJ102" s="59">
        <v>0.54607859999999986</v>
      </c>
      <c r="CK102" s="59">
        <v>0.46659758333333429</v>
      </c>
      <c r="CL102" s="195">
        <v>27.093769633507879</v>
      </c>
      <c r="CM102" s="195">
        <v>26.950636998254783</v>
      </c>
      <c r="CN102" s="195">
        <v>37.722714659685835</v>
      </c>
      <c r="CO102" s="195">
        <v>34.79325305410125</v>
      </c>
      <c r="CP102" s="195">
        <v>81.876108202443334</v>
      </c>
      <c r="CQ102" s="195">
        <v>82.892146596858652</v>
      </c>
      <c r="CR102" s="195">
        <v>0</v>
      </c>
      <c r="CS102" s="59">
        <v>0</v>
      </c>
      <c r="CT102" s="195">
        <v>1.2828612565445003</v>
      </c>
      <c r="CU102" s="195">
        <v>1.3027984293193706</v>
      </c>
      <c r="CV102" s="195">
        <v>3.2069999999999999</v>
      </c>
      <c r="CW102" s="247">
        <v>3.2549999999999999</v>
      </c>
      <c r="CX102" s="193">
        <f>IFERROR(AVERAGEIF(RD[[#This Row],[IS1POA1 (KWh/m2)]:[IS7POA2 (KWh/m2)]],"&lt;&gt;0",RD[[#This Row],[IS1POA1 (KWh/m2)]:[IS7POA2 (KWh/m2)]]),"")</f>
        <v>3.3849986916666701</v>
      </c>
      <c r="CY102" s="193">
        <f>IFERROR(AVERAGEIF(RD[[#This Row],[IS1GHI1 (KWh/m2)]:[IS7GHI2 (KWh/m2)]],"&lt;&gt;0",RD[[#This Row],[IS1GHI1 (KWh/m2)]:[IS7GHI2 (KWh/m2)]]),"")</f>
        <v>2.9781919333333313</v>
      </c>
      <c r="CZ102" s="193">
        <f>IFERROR(AVERAGEIF(RD[[#This Row],[IS1POA_BS1 (KWh/m2)]:[IS7POA_BS2 (KWh/m2)]],"&lt;&gt;0",RD[[#This Row],[IS1POA_BS1 (KWh/m2)]:[IS7POA_BS2 (KWh/m2)]]),"")</f>
        <v>0.41029169166666679</v>
      </c>
      <c r="DA102" s="193">
        <f>IFERROR(AVERAGEIF(RD[[#This Row],[IS1GHI_BS1 (KWh/m2)]:[IS1GHI_BS1 (KWh/m2)2]],"&lt;&gt;0",RD[[#This Row],[IS1GHI_BS1 (KWh/m2)]:[IS1GHI_BS1 (KWh/m2)2]]),"")</f>
        <v>0.5063380916666671</v>
      </c>
      <c r="DB102" s="193">
        <f>IFERROR(AVERAGEIF(RD[[#This Row],[IS1AT1 (°C)]:[IS7AT2 (°C)]],"&lt;&gt;0",RD[[#This Row],[IS1AT1 (°C)]:[IS7AT2 (°C)]]),"")</f>
        <v>27.022203315881331</v>
      </c>
      <c r="DC102" s="193">
        <f>IFERROR(AVERAGEIF(RD[[#This Row],[IS1MT1 (°C)]:[IS7MT2 (°C)]],"&lt;&gt;0",RD[[#This Row],[IS1MT1 (°C)]:[IS7MT2 (°C)]]),"")</f>
        <v>36.257983856893546</v>
      </c>
      <c r="DD102" s="193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193">
        <f>IFERROR(AVERAGEIF(RD[[#This Row],[WS_Solar1_Avg (m/s)]:[IS7_WS_Solar1_Avg (m/s)]],"&lt;&gt;0",RD[[#This Row],[WS_Solar1_Avg (m/s)]:[IS7_WS_Solar1_Avg (m/s)]]),"")</f>
        <v>1.2928298429319356</v>
      </c>
      <c r="DG102" s="193">
        <f>IFERROR(AVERAGEIF(RD[[#This Row],[WS_Solar1_Max (m/s)]:[IS7_WS_Solar1_Max (m/s)]],"&lt;&gt;0",RD[[#This Row],[WS_Solar1_Max (m/s)]:[IS7_WS_Solar1_Max (m/s)]]),"")</f>
        <v>3.2309999999999999</v>
      </c>
      <c r="DH102" s="193">
        <f>SUM(RD[[#This Row],[IS1Inv1M1]:[IS4Inv4M2]])</f>
        <v>145427.20000000004</v>
      </c>
      <c r="DI102" s="194">
        <f>SUM(RD[[#This Row],[IS7Inv1M1]]+RD[[#This Row],[IS7Inv2M1]])</f>
        <v>8627.2999999999993</v>
      </c>
      <c r="DJ102" s="193">
        <f>SUM(RD[[#This Row],[IS5Inv1M1]:[IS5Inv2M2]])</f>
        <v>21357.7</v>
      </c>
      <c r="DK102" s="193">
        <f>SUM(RD[[#This Row],[IS8Inv1M1]:[IS9Inv2M2]])</f>
        <v>41716.200000000004</v>
      </c>
      <c r="DL102" s="60">
        <f>SUM(RD[[#This Row],[IS6Inv1M1]:[IS6Inv2M2]])</f>
        <v>21665.3</v>
      </c>
      <c r="DM102" s="275">
        <f>SUM(RD[[#This Row],[IS10Inv1M1]:[IS11Inv1M4]],RD[[#This Row],[IS14Inv1M1]:[IS14Inv2M4]])</f>
        <v>90046.9</v>
      </c>
      <c r="DN102" s="275">
        <f>SUM(RD[[#This Row],[IS12Inv1M1]:[IS12Inv1M4]])</f>
        <v>18133.5</v>
      </c>
      <c r="DO102" s="275">
        <f>SUM(RD[[#This Row],[IS13Inv1M1]:[IS13Inv2M2]])</f>
        <v>19810.2</v>
      </c>
      <c r="DP102" s="193">
        <f>SUM(RD[[#This Row],[O2R15]:[O2R26]])</f>
        <v>366784.30000000005</v>
      </c>
      <c r="DQ102" s="158">
        <v>45057</v>
      </c>
      <c r="DR102" s="162">
        <v>227.6</v>
      </c>
      <c r="DS102" s="158">
        <v>39374.400000000001</v>
      </c>
      <c r="DT102" s="158">
        <v>239.4</v>
      </c>
      <c r="DU102" s="162">
        <v>46482.3</v>
      </c>
      <c r="DV102" s="162">
        <v>444.7</v>
      </c>
      <c r="DW102" s="158">
        <v>10687.5</v>
      </c>
      <c r="DX102" s="162">
        <v>56</v>
      </c>
      <c r="DY102" s="162">
        <v>3957.7</v>
      </c>
      <c r="DZ102" s="162">
        <v>20</v>
      </c>
      <c r="EA102" s="134">
        <v>107.28</v>
      </c>
      <c r="EB102" s="230">
        <v>149585362</v>
      </c>
      <c r="EC102" s="229">
        <v>1058098.8799999999</v>
      </c>
      <c r="ED102" s="230">
        <v>1270</v>
      </c>
      <c r="EE102" s="230">
        <v>143788</v>
      </c>
      <c r="EF102" s="158">
        <v>207393.3</v>
      </c>
      <c r="EG102" s="158">
        <v>2036.1</v>
      </c>
      <c r="EH102" s="140">
        <f>IF((RD[[#This Row],[33 kV_F3_Ex
Incomer1]]-DQ101)*1000&lt;0,0,(RD[[#This Row],[33 kV_F3_Ex
Incomer1]]-DQ101)*1000)</f>
        <v>73400.000000001455</v>
      </c>
      <c r="EI102" s="140">
        <f>IF((RD[[#This Row],[34 kV_F3_Im
Incomer1]]-DR101)*1000&lt;0,0,(RD[[#This Row],[34 kV_F3_Im
Incomer1]]-DR101)*1000)</f>
        <v>199.99999999998863</v>
      </c>
      <c r="EJ102" s="140">
        <f>IF((RD[[#This Row],[33 kV_F4_Ex
Incomer2]]-DS101)*1000&lt;0,0,(RD[[#This Row],[33 kV_F4_Ex
Incomer2]]-DS101)*1000)</f>
        <v>68599.999999998545</v>
      </c>
      <c r="EK102" s="140">
        <f>IF((RD[[#This Row],[34 kV_F4_Im
Incomer2]]-DT101)*1000&lt;0,0,(RD[[#This Row],[34 kV_F4_Im
Incomer2]]-DT101)*1000)</f>
        <v>300.00000000001137</v>
      </c>
      <c r="EL102" s="140">
        <f>IF((RD[[#This Row],[33 kV_F5_Ex
Incomer3]]-DU101)*1000&lt;0,0,(RD[[#This Row],[33 kV_F5_Ex
Incomer3]]-DU101)*1000)</f>
        <v>92900.000000001455</v>
      </c>
      <c r="EM102" s="140">
        <f>IF((RD[[#This Row],[34 kV_F5_Im
Incomer3]]-DV101)*1000&lt;0,0,(RD[[#This Row],[34 kV_F5_Im
Incomer3]]-DV101)*1000)</f>
        <v>1199.9999999999886</v>
      </c>
      <c r="EN102" s="140">
        <f>IF((RD[[#This Row],[33 kV_F6_Ex
Incomer4]]-DW101)*1000&lt;0,0,(RD[[#This Row],[33 kV_F6_Ex
Incomer4]]-DW101)*1000)</f>
        <v>26399.999999999636</v>
      </c>
      <c r="EO102" s="140">
        <f t="shared" si="166"/>
        <v>400.00000000000568</v>
      </c>
      <c r="EP102" s="140">
        <f>IF((RD[[#This Row],[33 kV_F7_Ex
Incomer5]]-DY101)*1000&lt;0,0,(RD[[#This Row],[33 kV_F7_Ex
Incomer5]]-DY101)*1000)</f>
        <v>84799.999999999724</v>
      </c>
      <c r="EQ102" s="140">
        <f>IF((RD[[#This Row],[33 kV_F7_Im
Incomer5]]-DZ101)*1000&lt;0,0,(RD[[#This Row],[33 kV_F7_Im
Incomer5]]-DZ101)*1000)</f>
        <v>600.00000000000136</v>
      </c>
      <c r="ER102" s="140">
        <f>IF((RD[[#This Row],[33 kV_Aux Trafo]]-EA101)*1000&lt;0,0,(RD[[#This Row],[33 kV_Aux Trafo]]-EA101)*1000)</f>
        <v>230.00000000000398</v>
      </c>
      <c r="ES102" s="152">
        <f>IF((RD[[#This Row],[33kV_OG1_Ex_]]-EB101)*1&lt;0,0,(RD[[#This Row],[33kV_OG1_Ex_]]-EB101)*1)</f>
        <v>364625</v>
      </c>
      <c r="ET102" s="140">
        <f>IF((RD[[#This Row],[33kV_OG1_Im]]-EC101)*1&lt;0,0,(RD[[#This Row],[33kV_OG1_Im]]-EC101)*1)</f>
        <v>3025.0239999999758</v>
      </c>
      <c r="EU102" s="140">
        <f>IF((RD[[#This Row],[132kV_TX1_EX]]-ED101)*720&lt;=0,"",(RD[[#This Row],[132kV_TX1_EX]]-ED101)*720)</f>
        <v>2880</v>
      </c>
      <c r="EV102" s="140">
        <f>IF((RD[[#This Row],[132 kV_Tx1_Im]]-EE101)*720&lt;=0,0,(RD[[#This Row],[132 kV_Tx1_Im]]-EE101)*720)</f>
        <v>261360</v>
      </c>
      <c r="EW102" s="140">
        <f>IF((RD[[#This Row],[132kV_L1_Ex]]-EF101)*720&lt;=0,0,(RD[[#This Row],[132kV_L1_Ex]]-EF101)*720)</f>
        <v>363600</v>
      </c>
      <c r="EX102" s="140">
        <f>IF((RD[[#This Row],[132kV_L1_Im]]-EG101)*720&lt;=0,0,(RD[[#This Row],[132kV_L1_Im]]-EG101)*720)</f>
        <v>3600</v>
      </c>
      <c r="EY102" s="231">
        <f>IFERROR(RD[[#This Row],[33kV_OG1_Ex (MWh)]]+RD[[#This Row],[33kV_OG1_Im (MWh)]],"")</f>
        <v>367650.02399999998</v>
      </c>
      <c r="EZ102" s="142">
        <f>RD[[#This Row],[33kV_OG1_Ex (MWh)]]-RD[[#This Row],[33kV_OG1_Im (MWh)]]</f>
        <v>361599.97600000002</v>
      </c>
      <c r="FA102" s="142">
        <f>IFERROR(RD[[#This Row],[132kV_L1_Ex(MWh)]]-RD[[#This Row],[132kV_L1_Im(MWh)]],"")</f>
        <v>360000</v>
      </c>
      <c r="FB102" s="286">
        <f>IFERROR(RD[[#This Row],[33kV_Ex(MWh)]]/RD[[#This Row],[Inv Total Gneration (MWh)]]-1,"")</f>
        <v>2.3603082247520835E-3</v>
      </c>
      <c r="FC102" s="232">
        <f>IFERROR((RD[[#This Row],[Sunset Time (POA&lt;20 W/m2)]]-RD[[#This Row],[Sunrise Time (POA&gt;20 W/m2)]])*24,0)</f>
        <v>12.366666666666667</v>
      </c>
      <c r="FD102" s="233">
        <v>128.08000000000001</v>
      </c>
      <c r="FE102" s="325" t="s">
        <v>1280</v>
      </c>
      <c r="FG102" s="138" t="str">
        <f>IFERROR(RD[[#This Row],[E_AC (WPR)]]/RD[[#This Row],[E_DC (WPR)]],"")</f>
        <v/>
      </c>
    </row>
    <row r="103" spans="1:163">
      <c r="A103" s="130">
        <f t="shared" ref="A103:A135" si="167">A102+1</f>
        <v>45843</v>
      </c>
      <c r="B103" s="132">
        <f>YEAR(RD[[#This Row],[Date]])+IF(MONTH(RD[[#This Row],[Date]])&gt;=4,1,0)</f>
        <v>2026</v>
      </c>
      <c r="C103" s="132">
        <f>YEAR(RD[[#This Row],[Date]])</f>
        <v>2025</v>
      </c>
      <c r="D103" s="133">
        <f t="shared" ref="D103:D104" si="168">A103-DAY(A103)+1</f>
        <v>45839</v>
      </c>
      <c r="E103" s="132">
        <f>DAY(EOMONTH(RD[[#This Row],[Date]],0))</f>
        <v>31</v>
      </c>
      <c r="F103" s="146">
        <v>0.25486111111111109</v>
      </c>
      <c r="G103" s="156">
        <v>0.77361111111111114</v>
      </c>
      <c r="H103" s="121">
        <v>4028.3</v>
      </c>
      <c r="I103" s="257">
        <v>4039.9</v>
      </c>
      <c r="J103" s="121">
        <v>3756.2</v>
      </c>
      <c r="K103" s="121">
        <v>3699.1</v>
      </c>
      <c r="L103" s="121">
        <v>3824.1</v>
      </c>
      <c r="M103" s="121">
        <v>3968.7</v>
      </c>
      <c r="N103" s="121">
        <v>3874.4</v>
      </c>
      <c r="O103" s="121">
        <v>4242.5</v>
      </c>
      <c r="P103" s="121">
        <v>3974</v>
      </c>
      <c r="Q103" s="121">
        <v>3842.2</v>
      </c>
      <c r="R103" s="121">
        <v>3933.2</v>
      </c>
      <c r="S103" s="255">
        <v>4014.3</v>
      </c>
      <c r="T103" s="121">
        <v>4127.1000000000004</v>
      </c>
      <c r="U103" s="121">
        <v>3928.6</v>
      </c>
      <c r="V103" s="121">
        <v>4081.6</v>
      </c>
      <c r="W103" s="121">
        <v>3940.2</v>
      </c>
      <c r="X103" s="283">
        <v>5103.1000000000004</v>
      </c>
      <c r="Y103" s="192">
        <v>5767</v>
      </c>
      <c r="Z103" s="192">
        <v>4976.2</v>
      </c>
      <c r="AA103" s="192">
        <v>5221.8999999999996</v>
      </c>
      <c r="AB103" s="283">
        <v>6028.1</v>
      </c>
      <c r="AC103" s="192">
        <v>3631.9</v>
      </c>
      <c r="AD103" s="192">
        <v>5563.1</v>
      </c>
      <c r="AE103" s="192">
        <v>5648.3</v>
      </c>
      <c r="AF103" s="283">
        <v>3587</v>
      </c>
      <c r="AG103" s="192">
        <v>3588</v>
      </c>
      <c r="AH103" s="192">
        <v>5509.6</v>
      </c>
      <c r="AI103" s="283">
        <v>5523.9</v>
      </c>
      <c r="AJ103" s="136">
        <v>4559.3</v>
      </c>
      <c r="AK103" s="136">
        <v>4708.8999999999996</v>
      </c>
      <c r="AL103" s="136">
        <v>4645.3</v>
      </c>
      <c r="AM103" s="136">
        <v>4681</v>
      </c>
      <c r="AN103" s="136">
        <v>4682.3999999999996</v>
      </c>
      <c r="AO103" s="136">
        <v>4864.8999999999996</v>
      </c>
      <c r="AP103" s="136">
        <v>4793.8</v>
      </c>
      <c r="AQ103" s="136">
        <v>4744.8</v>
      </c>
      <c r="AR103" s="136">
        <v>3780.8</v>
      </c>
      <c r="AS103" s="136">
        <v>3806.8</v>
      </c>
      <c r="AT103" s="136">
        <v>3807.3</v>
      </c>
      <c r="AU103" s="136">
        <v>3764</v>
      </c>
      <c r="AV103" s="136">
        <v>3859.9</v>
      </c>
      <c r="AW103" s="136">
        <v>3804.7</v>
      </c>
      <c r="AX103" s="136">
        <v>5446.2</v>
      </c>
      <c r="AY103" s="136">
        <v>6226.6</v>
      </c>
      <c r="AZ103" s="136">
        <v>4512.2</v>
      </c>
      <c r="BA103" s="136">
        <v>5498</v>
      </c>
      <c r="BB103" s="136">
        <v>5431.3</v>
      </c>
      <c r="BC103" s="136">
        <v>5230.8999999999996</v>
      </c>
      <c r="BD103" s="136">
        <v>2216.1</v>
      </c>
      <c r="BE103" s="136">
        <v>16</v>
      </c>
      <c r="BF103" s="136">
        <v>5805.2</v>
      </c>
      <c r="BG103" s="136">
        <v>5781.5</v>
      </c>
      <c r="BH103" s="136">
        <v>5793.2</v>
      </c>
      <c r="BI103" s="136">
        <v>5970.3</v>
      </c>
      <c r="BJ103" s="136">
        <v>3878.1</v>
      </c>
      <c r="BK103" s="136">
        <v>3091.9</v>
      </c>
      <c r="BL103" s="136">
        <v>3744.3</v>
      </c>
      <c r="BM103" s="136">
        <v>3715.4</v>
      </c>
      <c r="BN103" s="136">
        <v>4074</v>
      </c>
      <c r="BO103" s="136">
        <v>3922.6</v>
      </c>
      <c r="BP103" s="136">
        <v>4280.3999999999996</v>
      </c>
      <c r="BQ103" s="136">
        <v>4204.1000000000004</v>
      </c>
      <c r="BR103" s="136">
        <v>4313.3</v>
      </c>
      <c r="BS103" s="136">
        <v>4653.3999999999996</v>
      </c>
      <c r="BT103" s="136">
        <v>4530</v>
      </c>
      <c r="BU103" s="136">
        <v>4815</v>
      </c>
      <c r="BV103" s="192">
        <v>3815.9</v>
      </c>
      <c r="BW103" s="192">
        <v>3522.8</v>
      </c>
      <c r="BX103" s="192">
        <v>3248.7</v>
      </c>
      <c r="BY103" s="192">
        <v>3711.1</v>
      </c>
      <c r="BZ103" s="136">
        <v>1651.5</v>
      </c>
      <c r="CA103" s="136">
        <v>473.2</v>
      </c>
      <c r="CB103" s="136">
        <v>3634</v>
      </c>
      <c r="CC103" s="136">
        <v>3936.8</v>
      </c>
      <c r="CD103" s="195">
        <v>3.248289999999999</v>
      </c>
      <c r="CE103" s="59">
        <v>2.9168935666666678</v>
      </c>
      <c r="CF103" s="195">
        <v>2.5364738999999976</v>
      </c>
      <c r="CG103" s="195">
        <v>2.9056410499999989</v>
      </c>
      <c r="CH103" s="195">
        <v>0.35943033333333274</v>
      </c>
      <c r="CI103" s="195">
        <v>0.4003850499999998</v>
      </c>
      <c r="CJ103" s="59">
        <v>0.48949196666666683</v>
      </c>
      <c r="CK103" s="59">
        <v>0.42564515000000014</v>
      </c>
      <c r="CL103" s="195">
        <v>26.795273338940333</v>
      </c>
      <c r="CM103" s="195">
        <v>26.039108494533266</v>
      </c>
      <c r="CN103" s="195">
        <v>36.167381833473499</v>
      </c>
      <c r="CO103" s="195">
        <v>33.540737594617298</v>
      </c>
      <c r="CP103" s="195">
        <v>90.042220353237923</v>
      </c>
      <c r="CQ103" s="195">
        <v>89.661690496215371</v>
      </c>
      <c r="CR103" s="195">
        <v>0.65601345668629418</v>
      </c>
      <c r="CS103" s="59">
        <v>0.68363330529857158</v>
      </c>
      <c r="CT103" s="195">
        <v>0.94824474348191679</v>
      </c>
      <c r="CU103" s="195">
        <v>1.0150193439865434</v>
      </c>
      <c r="CV103" s="195">
        <v>3.99</v>
      </c>
      <c r="CW103" s="247">
        <v>4.6710000000000003</v>
      </c>
      <c r="CX103" s="193">
        <f>IFERROR(AVERAGEIF(RD[[#This Row],[IS1POA1 (KWh/m2)]:[IS7POA2 (KWh/m2)]],"&lt;&gt;0",RD[[#This Row],[IS1POA1 (KWh/m2)]:[IS7POA2 (KWh/m2)]]),"")</f>
        <v>3.0825917833333332</v>
      </c>
      <c r="CY103" s="193">
        <f>IFERROR(AVERAGEIF(RD[[#This Row],[IS1GHI1 (KWh/m2)]:[IS7GHI2 (KWh/m2)]],"&lt;&gt;0",RD[[#This Row],[IS1GHI1 (KWh/m2)]:[IS7GHI2 (KWh/m2)]]),"")</f>
        <v>2.7210574749999985</v>
      </c>
      <c r="CZ103" s="193">
        <f>IFERROR(AVERAGEIF(RD[[#This Row],[IS1POA_BS1 (KWh/m2)]:[IS7POA_BS2 (KWh/m2)]],"&lt;&gt;0",RD[[#This Row],[IS1POA_BS1 (KWh/m2)]:[IS7POA_BS2 (KWh/m2)]]),"")</f>
        <v>0.37990769166666627</v>
      </c>
      <c r="DA103" s="193">
        <f>IFERROR(AVERAGEIF(RD[[#This Row],[IS1GHI_BS1 (KWh/m2)]:[IS1GHI_BS1 (KWh/m2)2]],"&lt;&gt;0",RD[[#This Row],[IS1GHI_BS1 (KWh/m2)]:[IS1GHI_BS1 (KWh/m2)2]]),"")</f>
        <v>0.45756855833333349</v>
      </c>
      <c r="DB103" s="193">
        <f>IFERROR(AVERAGEIF(RD[[#This Row],[IS1AT1 (°C)]:[IS7AT2 (°C)]],"&lt;&gt;0",RD[[#This Row],[IS1AT1 (°C)]:[IS7AT2 (°C)]]),"")</f>
        <v>26.4171909167368</v>
      </c>
      <c r="DC103" s="193">
        <f>IFERROR(AVERAGEIF(RD[[#This Row],[IS1MT1 (°C)]:[IS7MT2 (°C)]],"&lt;&gt;0",RD[[#This Row],[IS1MT1 (°C)]:[IS7MT2 (°C)]]),"")</f>
        <v>34.854059714045398</v>
      </c>
      <c r="DD103" s="193">
        <f>IFERROR(AVERAGEIF(RD[[#This Row],[IS1RH1 (%)]:[IS7RH2 (%)]],"&lt;&gt;0",RD[[#This Row],[IS1RH1 (%)]:[IS7RH2 (%)]]),"")</f>
        <v>89.85195542472664</v>
      </c>
      <c r="DE103" s="193">
        <f>IFERROR(AVERAGEIF(RD[[#This Row],[IS1Rain1 (mm)]:[IS7Rain2 (mm)]],"&lt;&gt;0",RD[[#This Row],[IS1Rain1 (mm)]:[IS7Rain2 (mm)]]),"")</f>
        <v>0.66982338099243288</v>
      </c>
      <c r="DF103" s="193">
        <f>IFERROR(AVERAGEIF(RD[[#This Row],[WS_Solar1_Avg (m/s)]:[IS7_WS_Solar1_Avg (m/s)]],"&lt;&gt;0",RD[[#This Row],[WS_Solar1_Avg (m/s)]:[IS7_WS_Solar1_Avg (m/s)]]),"")</f>
        <v>0.98163204373423008</v>
      </c>
      <c r="DG103" s="193">
        <f>IFERROR(AVERAGEIF(RD[[#This Row],[WS_Solar1_Max (m/s)]:[IS7_WS_Solar1_Max (m/s)]],"&lt;&gt;0",RD[[#This Row],[WS_Solar1_Max (m/s)]:[IS7_WS_Solar1_Max (m/s)]]),"")</f>
        <v>4.3305000000000007</v>
      </c>
      <c r="DH103" s="193">
        <f>SUM(RD[[#This Row],[IS1Inv1M1]:[IS4Inv4M2]])</f>
        <v>123422.5</v>
      </c>
      <c r="DI103" s="194">
        <f>SUM(RD[[#This Row],[IS7Inv1M1]]+RD[[#This Row],[IS7Inv2M1]])</f>
        <v>7587.6</v>
      </c>
      <c r="DJ103" s="193">
        <f>SUM(RD[[#This Row],[IS5Inv1M1]:[IS5Inv2M2]])</f>
        <v>18594.5</v>
      </c>
      <c r="DK103" s="193">
        <f>SUM(RD[[#This Row],[IS8Inv1M1]:[IS9Inv2M2]])</f>
        <v>36918.900000000009</v>
      </c>
      <c r="DL103" s="60">
        <f>SUM(RD[[#This Row],[IS6Inv1M1]:[IS6Inv2M2]])</f>
        <v>19085.899999999998</v>
      </c>
      <c r="DM103" s="275">
        <f>SUM(RD[[#This Row],[IS10Inv1M1]:[IS11Inv1M4]],RD[[#This Row],[IS14Inv1M1]:[IS14Inv2M4]])</f>
        <v>74668.200000000012</v>
      </c>
      <c r="DN103" s="275">
        <f>SUM(RD[[#This Row],[IS12Inv1M1]:[IS12Inv1M4]])</f>
        <v>16481.099999999999</v>
      </c>
      <c r="DO103" s="275">
        <f>SUM(RD[[#This Row],[IS13Inv1M1]:[IS13Inv2M2]])</f>
        <v>18311.7</v>
      </c>
      <c r="DP103" s="193">
        <f>SUM(RD[[#This Row],[O2R15]:[O2R26]])</f>
        <v>315070.39999999997</v>
      </c>
      <c r="DQ103" s="158">
        <v>45117</v>
      </c>
      <c r="DR103" s="162">
        <v>228</v>
      </c>
      <c r="DS103" s="158">
        <v>39435</v>
      </c>
      <c r="DT103" s="158">
        <v>239.8</v>
      </c>
      <c r="DU103" s="162">
        <v>46563.9</v>
      </c>
      <c r="DV103" s="162">
        <v>446.1</v>
      </c>
      <c r="DW103" s="158">
        <v>10711.4</v>
      </c>
      <c r="DX103" s="162">
        <v>56.1</v>
      </c>
      <c r="DY103" s="162">
        <v>4028.7</v>
      </c>
      <c r="DZ103" s="162">
        <v>20.399999999999999</v>
      </c>
      <c r="EA103" s="134">
        <v>107.53</v>
      </c>
      <c r="EB103" s="230">
        <v>149898346</v>
      </c>
      <c r="EC103" s="229">
        <v>1061085.3759999999</v>
      </c>
      <c r="ED103" s="230">
        <v>1274</v>
      </c>
      <c r="EE103" s="230">
        <v>144100</v>
      </c>
      <c r="EF103" s="158">
        <v>207826.6</v>
      </c>
      <c r="EG103" s="158">
        <v>2040.9</v>
      </c>
      <c r="EH103" s="140">
        <f>IF((RD[[#This Row],[33 kV_F3_Ex
Incomer1]]-DQ102)*1000&lt;0,0,(RD[[#This Row],[33 kV_F3_Ex
Incomer1]]-DQ102)*1000)</f>
        <v>60000</v>
      </c>
      <c r="EI103" s="140">
        <f>IF((RD[[#This Row],[34 kV_F3_Im
Incomer1]]-DR102)*1000&lt;0,0,(RD[[#This Row],[34 kV_F3_Im
Incomer1]]-DR102)*1000)</f>
        <v>400.00000000000568</v>
      </c>
      <c r="EJ103" s="140">
        <f>IF((RD[[#This Row],[33 kV_F4_Ex
Incomer2]]-DS102)*1000&lt;0,0,(RD[[#This Row],[33 kV_F4_Ex
Incomer2]]-DS102)*1000)</f>
        <v>60599.999999998545</v>
      </c>
      <c r="EK103" s="140">
        <f>IF((RD[[#This Row],[34 kV_F4_Im
Incomer2]]-DT102)*1000&lt;0,0,(RD[[#This Row],[34 kV_F4_Im
Incomer2]]-DT102)*1000)</f>
        <v>400.00000000000568</v>
      </c>
      <c r="EL103" s="140">
        <f>IF((RD[[#This Row],[33 kV_F5_Ex
Incomer3]]-DU102)*1000&lt;0,0,(RD[[#This Row],[33 kV_F5_Ex
Incomer3]]-DU102)*1000)</f>
        <v>81599.999999998545</v>
      </c>
      <c r="EM103" s="140">
        <f>IF((RD[[#This Row],[34 kV_F5_Im
Incomer3]]-DV102)*1000&lt;0,0,(RD[[#This Row],[34 kV_F5_Im
Incomer3]]-DV102)*1000)</f>
        <v>1400.0000000000341</v>
      </c>
      <c r="EN103" s="140">
        <f>IF((RD[[#This Row],[33 kV_F6_Ex
Incomer4]]-DW102)*1000&lt;0,0,(RD[[#This Row],[33 kV_F6_Ex
Incomer4]]-DW102)*1000)</f>
        <v>23899.999999999636</v>
      </c>
      <c r="EO103" s="140">
        <f t="shared" si="166"/>
        <v>300.00000000001137</v>
      </c>
      <c r="EP103" s="140">
        <f>IF((RD[[#This Row],[33 kV_F7_Ex
Incomer5]]-DY102)*1000&lt;0,0,(RD[[#This Row],[33 kV_F7_Ex
Incomer5]]-DY102)*1000)</f>
        <v>71000</v>
      </c>
      <c r="EQ103" s="140">
        <f>IF((RD[[#This Row],[33 kV_F7_Im
Incomer5]]-DZ102)*1000&lt;0,0,(RD[[#This Row],[33 kV_F7_Im
Incomer5]]-DZ102)*1000)</f>
        <v>399.99999999999858</v>
      </c>
      <c r="ER103" s="140">
        <f>IF((RD[[#This Row],[33 kV_Aux Trafo]]-EA102)*1000&lt;0,0,(RD[[#This Row],[33 kV_Aux Trafo]]-EA102)*1000)</f>
        <v>250</v>
      </c>
      <c r="ES103" s="152">
        <f>IF((RD[[#This Row],[33kV_OG1_Ex_]]-EB102)*1&lt;0,0,(RD[[#This Row],[33kV_OG1_Ex_]]-EB102)*1)</f>
        <v>312984</v>
      </c>
      <c r="ET103" s="140">
        <f>IF((RD[[#This Row],[33kV_OG1_Im]]-EC102)*1&lt;0,0,(RD[[#This Row],[33kV_OG1_Im]]-EC102)*1)</f>
        <v>2986.4960000000428</v>
      </c>
      <c r="EU103" s="140">
        <f>IF((RD[[#This Row],[132kV_TX1_EX]]-ED102)*720&lt;=0,"",(RD[[#This Row],[132kV_TX1_EX]]-ED102)*720)</f>
        <v>2880</v>
      </c>
      <c r="EV103" s="140">
        <f>IF((RD[[#This Row],[132 kV_Tx1_Im]]-EE102)*720&lt;=0,0,(RD[[#This Row],[132 kV_Tx1_Im]]-EE102)*720)</f>
        <v>224640</v>
      </c>
      <c r="EW103" s="140">
        <f>IF((RD[[#This Row],[132kV_L1_Ex]]-EF102)*720&lt;=0,0,(RD[[#This Row],[132kV_L1_Ex]]-EF102)*720)</f>
        <v>311976.00000001257</v>
      </c>
      <c r="EX103" s="140">
        <f>IF((RD[[#This Row],[132kV_L1_Im]]-EG102)*720&lt;=0,0,(RD[[#This Row],[132kV_L1_Im]]-EG102)*720)</f>
        <v>3456.000000000131</v>
      </c>
      <c r="EY103" s="231">
        <f>IFERROR(RD[[#This Row],[33kV_OG1_Ex (MWh)]]+RD[[#This Row],[33kV_OG1_Im (MWh)]],"")</f>
        <v>315970.49600000004</v>
      </c>
      <c r="EZ103" s="142">
        <f>RD[[#This Row],[33kV_OG1_Ex (MWh)]]-RD[[#This Row],[33kV_OG1_Im (MWh)]]</f>
        <v>309997.50399999996</v>
      </c>
      <c r="FA103" s="142">
        <f>IFERROR(RD[[#This Row],[132kV_L1_Ex(MWh)]]-RD[[#This Row],[132kV_L1_Im(MWh)]],"")</f>
        <v>308520.00000001246</v>
      </c>
      <c r="FB103" s="286">
        <f>IFERROR(RD[[#This Row],[33kV_Ex(MWh)]]/RD[[#This Row],[Inv Total Gneration (MWh)]]-1,"")</f>
        <v>2.8568091448770705E-3</v>
      </c>
      <c r="FC103" s="232">
        <f>IFERROR((RD[[#This Row],[Sunset Time (POA&lt;20 W/m2)]]-RD[[#This Row],[Sunrise Time (POA&gt;20 W/m2)]])*24,0)</f>
        <v>12.450000000000001</v>
      </c>
      <c r="FD103" s="233">
        <v>128.08000000000001</v>
      </c>
      <c r="FE103" s="325" t="s">
        <v>1287</v>
      </c>
      <c r="FG103" s="138" t="str">
        <f>IFERROR(RD[[#This Row],[E_AC (WPR)]]/RD[[#This Row],[E_DC (WPR)]],"")</f>
        <v/>
      </c>
    </row>
    <row r="104" spans="1:163">
      <c r="A104" s="130">
        <f t="shared" si="167"/>
        <v>45844</v>
      </c>
      <c r="B104" s="132">
        <f>YEAR(RD[[#This Row],[Date]])+IF(MONTH(RD[[#This Row],[Date]])&gt;=4,1,0)</f>
        <v>2026</v>
      </c>
      <c r="C104" s="132">
        <f>YEAR(RD[[#This Row],[Date]])</f>
        <v>2025</v>
      </c>
      <c r="D104" s="133">
        <f t="shared" si="168"/>
        <v>45839</v>
      </c>
      <c r="E104" s="132">
        <f>DAY(EOMONTH(RD[[#This Row],[Date]],0))</f>
        <v>31</v>
      </c>
      <c r="F104" s="146">
        <v>0.25972222222222224</v>
      </c>
      <c r="G104" s="156">
        <v>0.78541666666666665</v>
      </c>
      <c r="H104" s="121">
        <v>3791.9</v>
      </c>
      <c r="I104" s="257">
        <v>3770</v>
      </c>
      <c r="J104" s="121">
        <v>3530.3</v>
      </c>
      <c r="K104" s="121">
        <v>3577.4</v>
      </c>
      <c r="L104" s="121">
        <v>3733</v>
      </c>
      <c r="M104" s="121">
        <v>3844.4</v>
      </c>
      <c r="N104" s="121">
        <v>3692.9</v>
      </c>
      <c r="O104" s="121">
        <v>4065.6</v>
      </c>
      <c r="P104" s="121">
        <v>3719.7</v>
      </c>
      <c r="Q104" s="121">
        <v>3672.8</v>
      </c>
      <c r="R104" s="121">
        <v>3732.6</v>
      </c>
      <c r="S104" s="255">
        <v>3767.8</v>
      </c>
      <c r="T104" s="121">
        <v>3864.7</v>
      </c>
      <c r="U104" s="121">
        <v>3692.6</v>
      </c>
      <c r="V104" s="121">
        <v>3843</v>
      </c>
      <c r="W104" s="121">
        <v>3675.3</v>
      </c>
      <c r="X104" s="283">
        <v>5205.7</v>
      </c>
      <c r="Y104" s="192">
        <v>5851.8</v>
      </c>
      <c r="Z104" s="192">
        <v>5077.5</v>
      </c>
      <c r="AA104" s="192">
        <v>5300.9</v>
      </c>
      <c r="AB104" s="283">
        <v>5606.6</v>
      </c>
      <c r="AC104" s="192">
        <v>3397.7</v>
      </c>
      <c r="AD104" s="192">
        <v>5212.3</v>
      </c>
      <c r="AE104" s="192">
        <v>5352.7</v>
      </c>
      <c r="AF104" s="283">
        <v>5133</v>
      </c>
      <c r="AG104" s="192">
        <v>5164</v>
      </c>
      <c r="AH104" s="192">
        <v>5166</v>
      </c>
      <c r="AI104" s="283">
        <v>5206.3999999999996</v>
      </c>
      <c r="AJ104" s="136">
        <v>4434.2</v>
      </c>
      <c r="AK104" s="136">
        <v>4574.8</v>
      </c>
      <c r="AL104" s="136">
        <v>4497.1000000000004</v>
      </c>
      <c r="AM104" s="136">
        <v>4554.1000000000004</v>
      </c>
      <c r="AN104" s="136">
        <v>4511.8</v>
      </c>
      <c r="AO104" s="136">
        <v>4664.5</v>
      </c>
      <c r="AP104" s="136">
        <v>4585.1000000000004</v>
      </c>
      <c r="AQ104" s="136">
        <v>4541.8</v>
      </c>
      <c r="AR104" s="136">
        <v>3610</v>
      </c>
      <c r="AS104" s="136">
        <v>3637.3</v>
      </c>
      <c r="AT104" s="136">
        <v>3654.3</v>
      </c>
      <c r="AU104" s="136">
        <v>3638.3</v>
      </c>
      <c r="AV104" s="136">
        <v>3720.7</v>
      </c>
      <c r="AW104" s="136">
        <v>3658.6</v>
      </c>
      <c r="AX104" s="136">
        <v>5187.3999999999996</v>
      </c>
      <c r="AY104" s="136">
        <v>5825.4</v>
      </c>
      <c r="AZ104" s="136">
        <v>4200.3</v>
      </c>
      <c r="BA104" s="136">
        <v>5133.7</v>
      </c>
      <c r="BB104" s="136">
        <v>4369.5</v>
      </c>
      <c r="BC104" s="136">
        <v>4215.1000000000004</v>
      </c>
      <c r="BD104" s="136">
        <v>2622.1</v>
      </c>
      <c r="BE104" s="136">
        <v>35.200000000000003</v>
      </c>
      <c r="BF104" s="136">
        <v>5354.1</v>
      </c>
      <c r="BG104" s="136">
        <v>5404.3</v>
      </c>
      <c r="BH104" s="136">
        <v>5281.1</v>
      </c>
      <c r="BI104" s="136">
        <v>5463.9</v>
      </c>
      <c r="BJ104" s="136">
        <v>3510.7</v>
      </c>
      <c r="BK104" s="136">
        <v>2786.7</v>
      </c>
      <c r="BL104" s="136">
        <v>3356.3</v>
      </c>
      <c r="BM104" s="136">
        <v>3336.3</v>
      </c>
      <c r="BN104" s="136">
        <v>3668.1</v>
      </c>
      <c r="BO104" s="136">
        <v>3511.1</v>
      </c>
      <c r="BP104" s="136">
        <v>3863.5</v>
      </c>
      <c r="BQ104" s="136">
        <v>3790.9</v>
      </c>
      <c r="BR104" s="136">
        <v>3929</v>
      </c>
      <c r="BS104" s="136">
        <v>4202</v>
      </c>
      <c r="BT104" s="136">
        <v>3779</v>
      </c>
      <c r="BU104" s="136">
        <v>4348</v>
      </c>
      <c r="BV104" s="192">
        <v>3550.8</v>
      </c>
      <c r="BW104" s="192">
        <v>3253.5</v>
      </c>
      <c r="BX104" s="192">
        <v>3044.4</v>
      </c>
      <c r="BY104" s="192">
        <v>3449</v>
      </c>
      <c r="BZ104" s="136">
        <v>1520.5</v>
      </c>
      <c r="CA104" s="136">
        <v>416.3</v>
      </c>
      <c r="CB104" s="136">
        <v>3337.2</v>
      </c>
      <c r="CC104" s="136">
        <v>3628.7</v>
      </c>
      <c r="CD104" s="195">
        <v>3.0486908833333359</v>
      </c>
      <c r="CE104" s="59">
        <v>2.7096137666666618</v>
      </c>
      <c r="CF104" s="195">
        <v>2.3901515999999994</v>
      </c>
      <c r="CG104" s="195">
        <v>2.7175706999999951</v>
      </c>
      <c r="CH104" s="195">
        <v>0.38685048333333283</v>
      </c>
      <c r="CI104" s="195">
        <v>0.35228378333333327</v>
      </c>
      <c r="CJ104" s="59">
        <v>0.44734640000000037</v>
      </c>
      <c r="CK104" s="59">
        <v>0.37498316666666731</v>
      </c>
      <c r="CL104" s="195">
        <v>26.194365012615545</v>
      </c>
      <c r="CM104" s="195">
        <v>25.654583683767843</v>
      </c>
      <c r="CN104" s="195">
        <v>35.214893187552526</v>
      </c>
      <c r="CO104" s="195">
        <v>32.237786375105124</v>
      </c>
      <c r="CP104" s="195">
        <v>91.322624053826758</v>
      </c>
      <c r="CQ104" s="195">
        <v>90.898141295206074</v>
      </c>
      <c r="CR104" s="195">
        <v>0.40370058873002573</v>
      </c>
      <c r="CS104" s="59">
        <v>0.2926829268292675</v>
      </c>
      <c r="CT104" s="195">
        <v>1.169439865433137</v>
      </c>
      <c r="CU104" s="195">
        <v>1.2872119428090827</v>
      </c>
      <c r="CV104" s="195">
        <v>3.726</v>
      </c>
      <c r="CW104" s="247">
        <v>3.492</v>
      </c>
      <c r="CX104" s="193">
        <f>IFERROR(AVERAGEIF(RD[[#This Row],[IS1POA1 (KWh/m2)]:[IS7POA2 (KWh/m2)]],"&lt;&gt;0",RD[[#This Row],[IS1POA1 (KWh/m2)]:[IS7POA2 (KWh/m2)]]),"")</f>
        <v>2.8791523249999988</v>
      </c>
      <c r="CY104" s="193">
        <f>IFERROR(AVERAGEIF(RD[[#This Row],[IS1GHI1 (KWh/m2)]:[IS7GHI2 (KWh/m2)]],"&lt;&gt;0",RD[[#This Row],[IS1GHI1 (KWh/m2)]:[IS7GHI2 (KWh/m2)]]),"")</f>
        <v>2.5538611499999972</v>
      </c>
      <c r="CZ104" s="193">
        <f>IFERROR(AVERAGEIF(RD[[#This Row],[IS1POA_BS1 (KWh/m2)]:[IS7POA_BS2 (KWh/m2)]],"&lt;&gt;0",RD[[#This Row],[IS1POA_BS1 (KWh/m2)]:[IS7POA_BS2 (KWh/m2)]]),"")</f>
        <v>0.36956713333333302</v>
      </c>
      <c r="DA104" s="193">
        <f>IFERROR(AVERAGEIF(RD[[#This Row],[IS1GHI_BS1 (KWh/m2)]:[IS1GHI_BS1 (KWh/m2)2]],"&lt;&gt;0",RD[[#This Row],[IS1GHI_BS1 (KWh/m2)]:[IS1GHI_BS1 (KWh/m2)2]]),"")</f>
        <v>0.41116478333333384</v>
      </c>
      <c r="DB104" s="193">
        <f>IFERROR(AVERAGEIF(RD[[#This Row],[IS1AT1 (°C)]:[IS7AT2 (°C)]],"&lt;&gt;0",RD[[#This Row],[IS1AT1 (°C)]:[IS7AT2 (°C)]]),"")</f>
        <v>25.924474348191694</v>
      </c>
      <c r="DC104" s="193">
        <f>IFERROR(AVERAGEIF(RD[[#This Row],[IS1MT1 (°C)]:[IS7MT2 (°C)]],"&lt;&gt;0",RD[[#This Row],[IS1MT1 (°C)]:[IS7MT2 (°C)]]),"")</f>
        <v>33.726339781328825</v>
      </c>
      <c r="DD104" s="193">
        <f>IFERROR(AVERAGEIF(RD[[#This Row],[IS1RH1 (%)]:[IS7RH2 (%)]],"&lt;&gt;0",RD[[#This Row],[IS1RH1 (%)]:[IS7RH2 (%)]]),"")</f>
        <v>91.110382674516416</v>
      </c>
      <c r="DE104" s="193">
        <f>IFERROR(AVERAGEIF(RD[[#This Row],[IS1Rain1 (mm)]:[IS7Rain2 (mm)]],"&lt;&gt;0",RD[[#This Row],[IS1Rain1 (mm)]:[IS7Rain2 (mm)]]),"")</f>
        <v>0.34819175777964662</v>
      </c>
      <c r="DF104" s="193">
        <f>IFERROR(AVERAGEIF(RD[[#This Row],[WS_Solar1_Avg (m/s)]:[IS7_WS_Solar1_Avg (m/s)]],"&lt;&gt;0",RD[[#This Row],[WS_Solar1_Avg (m/s)]:[IS7_WS_Solar1_Avg (m/s)]]),"")</f>
        <v>1.2283259041211099</v>
      </c>
      <c r="DG104" s="193">
        <f>IFERROR(AVERAGEIF(RD[[#This Row],[WS_Solar1_Max (m/s)]:[IS7_WS_Solar1_Max (m/s)]],"&lt;&gt;0",RD[[#This Row],[WS_Solar1_Max (m/s)]:[IS7_WS_Solar1_Max (m/s)]]),"")</f>
        <v>3.609</v>
      </c>
      <c r="DH104" s="193">
        <f>SUM(RD[[#This Row],[IS1Inv1M1]:[IS4Inv4M2]])</f>
        <v>121648.59999999999</v>
      </c>
      <c r="DI104" s="194">
        <f>SUM(RD[[#This Row],[IS7Inv1M1]]+RD[[#This Row],[IS7Inv2M1]])</f>
        <v>7247.3</v>
      </c>
      <c r="DJ104" s="193">
        <f>SUM(RD[[#This Row],[IS5Inv1M1]:[IS5Inv2M2]])</f>
        <v>18060.2</v>
      </c>
      <c r="DK104" s="193">
        <f>SUM(RD[[#This Row],[IS8Inv1M1]:[IS9Inv2M2]])</f>
        <v>35018.699999999997</v>
      </c>
      <c r="DL104" s="60">
        <f>SUM(RD[[#This Row],[IS6Inv1M1]:[IS6Inv2M2]])</f>
        <v>18303.2</v>
      </c>
      <c r="DM104" s="275">
        <f>SUM(RD[[#This Row],[IS10Inv1M1]:[IS11Inv1M4]],RD[[#This Row],[IS14Inv1M1]:[IS14Inv2M4]])</f>
        <v>67935.700000000012</v>
      </c>
      <c r="DN104" s="275">
        <f>SUM(RD[[#This Row],[IS12Inv1M1]:[IS12Inv1M4]])</f>
        <v>14833.6</v>
      </c>
      <c r="DO104" s="275">
        <f>SUM(RD[[#This Row],[IS13Inv1M1]:[IS13Inv2M2]])</f>
        <v>16258</v>
      </c>
      <c r="DP104" s="193">
        <f>SUM(RD[[#This Row],[O2R15]:[O2R26]])</f>
        <v>299305.3</v>
      </c>
      <c r="DQ104" s="158">
        <v>45178.3</v>
      </c>
      <c r="DR104" s="162">
        <v>228.1</v>
      </c>
      <c r="DS104" s="158">
        <v>39492.6</v>
      </c>
      <c r="DT104" s="158">
        <v>240.1</v>
      </c>
      <c r="DU104" s="162">
        <v>46642.1</v>
      </c>
      <c r="DV104" s="162">
        <v>447.4</v>
      </c>
      <c r="DW104" s="158">
        <v>10733.7</v>
      </c>
      <c r="DX104" s="162">
        <v>56.4</v>
      </c>
      <c r="DY104" s="162">
        <v>4092.2</v>
      </c>
      <c r="DZ104" s="162">
        <v>21.1</v>
      </c>
      <c r="EA104" s="134">
        <v>107.76</v>
      </c>
      <c r="EB104" s="230">
        <v>150196191</v>
      </c>
      <c r="EC104" s="229">
        <v>1064151.6159999999</v>
      </c>
      <c r="ED104" s="230">
        <v>1277</v>
      </c>
      <c r="EE104" s="230">
        <v>144397</v>
      </c>
      <c r="EF104" s="158">
        <v>208239</v>
      </c>
      <c r="EG104" s="158">
        <v>2045.9</v>
      </c>
      <c r="EH104" s="140">
        <f>IF((RD[[#This Row],[33 kV_F3_Ex
Incomer1]]-DQ103)*1000&lt;0,0,(RD[[#This Row],[33 kV_F3_Ex
Incomer1]]-DQ103)*1000)</f>
        <v>61300.00000000291</v>
      </c>
      <c r="EI104" s="140">
        <f>IF((RD[[#This Row],[34 kV_F3_Im
Incomer1]]-DR103)*1000&lt;0,0,(RD[[#This Row],[34 kV_F3_Im
Incomer1]]-DR103)*1000)</f>
        <v>99.999999999994316</v>
      </c>
      <c r="EJ104" s="140">
        <f>IF((RD[[#This Row],[33 kV_F4_Ex
Incomer2]]-DS103)*1000&lt;0,0,(RD[[#This Row],[33 kV_F4_Ex
Incomer2]]-DS103)*1000)</f>
        <v>57599.999999998545</v>
      </c>
      <c r="EK104" s="140">
        <f>IF((RD[[#This Row],[34 kV_F4_Im
Incomer2]]-DT103)*1000&lt;0,0,(RD[[#This Row],[34 kV_F4_Im
Incomer2]]-DT103)*1000)</f>
        <v>299.99999999998295</v>
      </c>
      <c r="EL104" s="140">
        <f>IF((RD[[#This Row],[33 kV_F5_Ex
Incomer3]]-DU103)*1000&lt;0,0,(RD[[#This Row],[33 kV_F5_Ex
Incomer3]]-DU103)*1000)</f>
        <v>78199.99999999709</v>
      </c>
      <c r="EM104" s="140">
        <f>IF((RD[[#This Row],[34 kV_F5_Im
Incomer3]]-DV103)*1000&lt;0,0,(RD[[#This Row],[34 kV_F5_Im
Incomer3]]-DV103)*1000)</f>
        <v>1299.9999999999545</v>
      </c>
      <c r="EN104" s="140">
        <f>IF((RD[[#This Row],[33 kV_F6_Ex
Incomer4]]-DW103)*1000&lt;0,0,(RD[[#This Row],[33 kV_F6_Ex
Incomer4]]-DW103)*1000)</f>
        <v>22300.000000001091</v>
      </c>
      <c r="EO104" s="140">
        <f t="shared" si="166"/>
        <v>299.99999999998295</v>
      </c>
      <c r="EP104" s="140">
        <f>IF((RD[[#This Row],[33 kV_F7_Ex
Incomer5]]-DY103)*1000&lt;0,0,(RD[[#This Row],[33 kV_F7_Ex
Incomer5]]-DY103)*1000)</f>
        <v>63500</v>
      </c>
      <c r="EQ104" s="140">
        <f>IF((RD[[#This Row],[33 kV_F7_Im
Incomer5]]-DZ103)*1000&lt;0,0,(RD[[#This Row],[33 kV_F7_Im
Incomer5]]-DZ103)*1000)</f>
        <v>700.00000000000284</v>
      </c>
      <c r="ER104" s="140">
        <f>IF((RD[[#This Row],[33 kV_Aux Trafo]]-EA103)*1000&lt;0,0,(RD[[#This Row],[33 kV_Aux Trafo]]-EA103)*1000)</f>
        <v>230.00000000000398</v>
      </c>
      <c r="ES104" s="152">
        <f>IF((RD[[#This Row],[33kV_OG1_Ex_]]-EB103)*1&lt;0,0,(RD[[#This Row],[33kV_OG1_Ex_]]-EB103)*1)</f>
        <v>297845</v>
      </c>
      <c r="ET104" s="140">
        <f>IF((RD[[#This Row],[33kV_OG1_Im]]-EC103)*1&lt;0,0,(RD[[#This Row],[33kV_OG1_Im]]-EC103)*1)</f>
        <v>3066.2399999999907</v>
      </c>
      <c r="EU104" s="140">
        <f>IF((RD[[#This Row],[132kV_TX1_EX]]-ED103)*720&lt;=0,"",(RD[[#This Row],[132kV_TX1_EX]]-ED103)*720)</f>
        <v>2160</v>
      </c>
      <c r="EV104" s="140">
        <f>IF((RD[[#This Row],[132 kV_Tx1_Im]]-EE103)*720&lt;=0,0,(RD[[#This Row],[132 kV_Tx1_Im]]-EE103)*720)</f>
        <v>213840</v>
      </c>
      <c r="EW104" s="140">
        <f>IF((RD[[#This Row],[132kV_L1_Ex]]-EF103)*720&lt;=0,0,(RD[[#This Row],[132kV_L1_Ex]]-EF103)*720)</f>
        <v>296927.99999999581</v>
      </c>
      <c r="EX104" s="140">
        <f>IF((RD[[#This Row],[132kV_L1_Im]]-EG103)*720&lt;=0,0,(RD[[#This Row],[132kV_L1_Im]]-EG103)*720)</f>
        <v>3600</v>
      </c>
      <c r="EY104" s="231">
        <f>IFERROR(RD[[#This Row],[33kV_OG1_Ex (MWh)]]+RD[[#This Row],[33kV_OG1_Im (MWh)]],"")</f>
        <v>300911.24</v>
      </c>
      <c r="EZ104" s="142">
        <f>RD[[#This Row],[33kV_OG1_Ex (MWh)]]-RD[[#This Row],[33kV_OG1_Im (MWh)]]</f>
        <v>294778.76</v>
      </c>
      <c r="FA104" s="142">
        <f>IFERROR(RD[[#This Row],[132kV_L1_Ex(MWh)]]-RD[[#This Row],[132kV_L1_Im(MWh)]],"")</f>
        <v>293327.99999999581</v>
      </c>
      <c r="FB104" s="286">
        <f>IFERROR(RD[[#This Row],[33kV_Ex(MWh)]]/RD[[#This Row],[Inv Total Gneration (MWh)]]-1,"")</f>
        <v>5.3655581775531314E-3</v>
      </c>
      <c r="FC104" s="232">
        <f>IFERROR((RD[[#This Row],[Sunset Time (POA&lt;20 W/m2)]]-RD[[#This Row],[Sunrise Time (POA&gt;20 W/m2)]])*24,0)</f>
        <v>12.616666666666667</v>
      </c>
      <c r="FD104" s="233">
        <v>128.08000000000001</v>
      </c>
      <c r="FE104" s="326" t="s">
        <v>1288</v>
      </c>
      <c r="FG104" s="138" t="str">
        <f>IFERROR(RD[[#This Row],[E_AC (WPR)]]/RD[[#This Row],[E_DC (WPR)]],"")</f>
        <v/>
      </c>
    </row>
    <row r="105" spans="1:163">
      <c r="A105" s="130">
        <f t="shared" si="167"/>
        <v>45845</v>
      </c>
      <c r="B105" s="132">
        <f>YEAR(RD[[#This Row],[Date]])+IF(MONTH(RD[[#This Row],[Date]])&gt;=4,1,0)</f>
        <v>2026</v>
      </c>
      <c r="C105" s="132">
        <f>YEAR(RD[[#This Row],[Date]])</f>
        <v>2025</v>
      </c>
      <c r="D105" s="133">
        <f t="shared" ref="D105:D120" si="169">A105-DAY(A105)+1</f>
        <v>45839</v>
      </c>
      <c r="E105" s="132">
        <f>DAY(EOMONTH(RD[[#This Row],[Date]],0))</f>
        <v>31</v>
      </c>
      <c r="F105" s="146">
        <v>0.26180555555555557</v>
      </c>
      <c r="G105" s="156">
        <v>0.76736111111111116</v>
      </c>
      <c r="H105" s="121">
        <v>2482.1999999999998</v>
      </c>
      <c r="I105" s="257">
        <v>2469.8000000000002</v>
      </c>
      <c r="J105" s="121">
        <v>2297.1</v>
      </c>
      <c r="K105" s="121">
        <v>2299.3000000000002</v>
      </c>
      <c r="L105" s="121">
        <v>2391.8000000000002</v>
      </c>
      <c r="M105" s="121">
        <v>2476.3000000000002</v>
      </c>
      <c r="N105" s="121">
        <v>2389.3000000000002</v>
      </c>
      <c r="O105" s="121">
        <v>2663.7</v>
      </c>
      <c r="P105" s="121">
        <v>2444.1</v>
      </c>
      <c r="Q105" s="121">
        <v>2387</v>
      </c>
      <c r="R105" s="121">
        <v>2426.8000000000002</v>
      </c>
      <c r="S105" s="255">
        <v>2467</v>
      </c>
      <c r="T105" s="121">
        <v>2527.5</v>
      </c>
      <c r="U105" s="121">
        <v>2416.6999999999998</v>
      </c>
      <c r="V105" s="121">
        <v>2511.5</v>
      </c>
      <c r="W105" s="121">
        <v>2410.4</v>
      </c>
      <c r="X105" s="283">
        <v>3466.8</v>
      </c>
      <c r="Y105" s="192">
        <v>3946.3</v>
      </c>
      <c r="Z105" s="192">
        <v>3386</v>
      </c>
      <c r="AA105" s="192">
        <v>3547.9</v>
      </c>
      <c r="AB105" s="283">
        <v>3753.5</v>
      </c>
      <c r="AC105" s="192">
        <v>2253</v>
      </c>
      <c r="AD105" s="192">
        <v>3465.2</v>
      </c>
      <c r="AE105" s="192">
        <v>3542</v>
      </c>
      <c r="AF105" s="283">
        <v>3431.8</v>
      </c>
      <c r="AG105" s="192">
        <v>3470</v>
      </c>
      <c r="AH105" s="192">
        <v>3450.5</v>
      </c>
      <c r="AI105" s="283">
        <v>3463.6</v>
      </c>
      <c r="AJ105" s="136">
        <v>2805.2</v>
      </c>
      <c r="AK105" s="136">
        <v>2906.6</v>
      </c>
      <c r="AL105" s="136">
        <v>2862.5</v>
      </c>
      <c r="AM105" s="136">
        <v>2894.6</v>
      </c>
      <c r="AN105" s="136">
        <v>2864</v>
      </c>
      <c r="AO105" s="136">
        <v>2970.1</v>
      </c>
      <c r="AP105" s="136">
        <v>2870</v>
      </c>
      <c r="AQ105" s="136">
        <v>2623.5</v>
      </c>
      <c r="AR105" s="136">
        <v>2249.3000000000002</v>
      </c>
      <c r="AS105" s="136">
        <v>2266.6999999999998</v>
      </c>
      <c r="AT105" s="136">
        <v>2280.3000000000002</v>
      </c>
      <c r="AU105" s="136">
        <v>2267.1999999999998</v>
      </c>
      <c r="AV105" s="136">
        <v>2314.8000000000002</v>
      </c>
      <c r="AW105" s="136">
        <v>2279.6999999999998</v>
      </c>
      <c r="AX105" s="136">
        <v>3284.5</v>
      </c>
      <c r="AY105" s="136">
        <v>3722.3</v>
      </c>
      <c r="AZ105" s="136">
        <v>2689.4</v>
      </c>
      <c r="BA105" s="136">
        <v>3313.1</v>
      </c>
      <c r="BB105" s="136">
        <v>2103.1999999999998</v>
      </c>
      <c r="BC105" s="136">
        <v>2042.7</v>
      </c>
      <c r="BD105" s="136">
        <v>3009.9</v>
      </c>
      <c r="BE105" s="136">
        <v>2649.8</v>
      </c>
      <c r="BF105" s="136">
        <v>3579.8</v>
      </c>
      <c r="BG105" s="136">
        <v>3626.5</v>
      </c>
      <c r="BH105" s="136">
        <v>3564.6</v>
      </c>
      <c r="BI105" s="136">
        <v>3680.2</v>
      </c>
      <c r="BJ105" s="136">
        <v>2303</v>
      </c>
      <c r="BK105" s="136">
        <v>1809.6</v>
      </c>
      <c r="BL105" s="136">
        <v>2211.1999999999998</v>
      </c>
      <c r="BM105" s="136">
        <v>2189</v>
      </c>
      <c r="BN105" s="136">
        <v>2422</v>
      </c>
      <c r="BO105" s="136">
        <v>2314.1999999999998</v>
      </c>
      <c r="BP105" s="136">
        <v>2554.1</v>
      </c>
      <c r="BQ105" s="136">
        <v>2509.6999999999998</v>
      </c>
      <c r="BR105" s="136">
        <v>2666.7</v>
      </c>
      <c r="BS105" s="136">
        <v>2795.3</v>
      </c>
      <c r="BT105" s="136">
        <v>2626.5</v>
      </c>
      <c r="BU105" s="136">
        <v>2891.5</v>
      </c>
      <c r="BV105" s="192">
        <v>2280.3000000000002</v>
      </c>
      <c r="BW105" s="192">
        <v>2097.1</v>
      </c>
      <c r="BX105" s="192">
        <v>1930.9</v>
      </c>
      <c r="BY105" s="192">
        <v>2216.3000000000002</v>
      </c>
      <c r="BZ105" s="136">
        <v>936.1</v>
      </c>
      <c r="CA105" s="136">
        <v>216.4</v>
      </c>
      <c r="CB105" s="136">
        <v>2152.6</v>
      </c>
      <c r="CC105" s="136">
        <v>2361.8000000000002</v>
      </c>
      <c r="CD105" s="195">
        <v>1.9084033333333337</v>
      </c>
      <c r="CE105" s="59">
        <v>1.6489465500000007</v>
      </c>
      <c r="CF105" s="195">
        <v>1.4900097666666678</v>
      </c>
      <c r="CG105" s="195">
        <v>1.6391193166666682</v>
      </c>
      <c r="CH105" s="195">
        <v>0.21210819999999969</v>
      </c>
      <c r="CI105" s="195">
        <v>0.22248483333333341</v>
      </c>
      <c r="CJ105" s="59">
        <v>0.27281226666666675</v>
      </c>
      <c r="CK105" s="59">
        <v>0.22528365000000006</v>
      </c>
      <c r="CL105" s="195">
        <v>25.368085106382903</v>
      </c>
      <c r="CM105" s="195">
        <v>24.821165957446755</v>
      </c>
      <c r="CN105" s="195">
        <v>32.547451063829762</v>
      </c>
      <c r="CO105" s="195">
        <v>29.848922553191532</v>
      </c>
      <c r="CP105" s="195">
        <v>95.533276595744624</v>
      </c>
      <c r="CQ105" s="195">
        <v>93.538093617021318</v>
      </c>
      <c r="CR105" s="195">
        <v>0.44782978723404454</v>
      </c>
      <c r="CS105" s="59">
        <v>0.4289361702127657</v>
      </c>
      <c r="CT105" s="195">
        <v>1.1847804255319161</v>
      </c>
      <c r="CU105" s="195">
        <v>1.3317063829787223</v>
      </c>
      <c r="CV105" s="195">
        <v>2.8860000000000001</v>
      </c>
      <c r="CW105" s="247">
        <v>3.528</v>
      </c>
      <c r="CX105" s="193">
        <f>IFERROR(AVERAGEIF(RD[[#This Row],[IS1POA1 (KWh/m2)]:[IS7POA2 (KWh/m2)]],"&lt;&gt;0",RD[[#This Row],[IS1POA1 (KWh/m2)]:[IS7POA2 (KWh/m2)]]),"")</f>
        <v>1.7786749416666672</v>
      </c>
      <c r="CY105" s="193">
        <f>IFERROR(AVERAGEIF(RD[[#This Row],[IS1GHI1 (KWh/m2)]:[IS7GHI2 (KWh/m2)]],"&lt;&gt;0",RD[[#This Row],[IS1GHI1 (KWh/m2)]:[IS7GHI2 (KWh/m2)]]),"")</f>
        <v>1.564564541666668</v>
      </c>
      <c r="CZ105" s="193">
        <f>IFERROR(AVERAGEIF(RD[[#This Row],[IS1POA_BS1 (KWh/m2)]:[IS7POA_BS2 (KWh/m2)]],"&lt;&gt;0",RD[[#This Row],[IS1POA_BS1 (KWh/m2)]:[IS7POA_BS2 (KWh/m2)]]),"")</f>
        <v>0.21729651666666655</v>
      </c>
      <c r="DA105" s="193">
        <f>IFERROR(AVERAGEIF(RD[[#This Row],[IS1GHI_BS1 (KWh/m2)]:[IS1GHI_BS1 (KWh/m2)2]],"&lt;&gt;0",RD[[#This Row],[IS1GHI_BS1 (KWh/m2)]:[IS1GHI_BS1 (KWh/m2)2]]),"")</f>
        <v>0.2490479583333334</v>
      </c>
      <c r="DB105" s="193">
        <f>IFERROR(AVERAGEIF(RD[[#This Row],[IS1AT1 (°C)]:[IS7AT2 (°C)]],"&lt;&gt;0",RD[[#This Row],[IS1AT1 (°C)]:[IS7AT2 (°C)]]),"")</f>
        <v>25.094625531914829</v>
      </c>
      <c r="DC105" s="193">
        <f>IFERROR(AVERAGEIF(RD[[#This Row],[IS1MT1 (°C)]:[IS7MT2 (°C)]],"&lt;&gt;0",RD[[#This Row],[IS1MT1 (°C)]:[IS7MT2 (°C)]]),"")</f>
        <v>31.198186808510648</v>
      </c>
      <c r="DD105" s="193">
        <f>IFERROR(AVERAGEIF(RD[[#This Row],[IS1RH1 (%)]:[IS7RH2 (%)]],"&lt;&gt;0",RD[[#This Row],[IS1RH1 (%)]:[IS7RH2 (%)]]),"")</f>
        <v>94.535685106382971</v>
      </c>
      <c r="DE105" s="193">
        <f>IFERROR(AVERAGEIF(RD[[#This Row],[IS1Rain1 (mm)]:[IS7Rain2 (mm)]],"&lt;&gt;0",RD[[#This Row],[IS1Rain1 (mm)]:[IS7Rain2 (mm)]]),"")</f>
        <v>0.43838297872340515</v>
      </c>
      <c r="DF105" s="193">
        <f>IFERROR(AVERAGEIF(RD[[#This Row],[WS_Solar1_Avg (m/s)]:[IS7_WS_Solar1_Avg (m/s)]],"&lt;&gt;0",RD[[#This Row],[WS_Solar1_Avg (m/s)]:[IS7_WS_Solar1_Avg (m/s)]]),"")</f>
        <v>1.2582434042553192</v>
      </c>
      <c r="DG105" s="193">
        <f>IFERROR(AVERAGEIF(RD[[#This Row],[WS_Solar1_Max (m/s)]:[IS7_WS_Solar1_Max (m/s)]],"&lt;&gt;0",RD[[#This Row],[WS_Solar1_Max (m/s)]:[IS7_WS_Solar1_Max (m/s)]]),"")</f>
        <v>3.2069999999999999</v>
      </c>
      <c r="DH105" s="193">
        <f>SUM(RD[[#This Row],[IS1Inv1M1]:[IS4Inv4M2]])</f>
        <v>80237.10000000002</v>
      </c>
      <c r="DI105" s="194">
        <f>SUM(RD[[#This Row],[IS7Inv1M1]]+RD[[#This Row],[IS7Inv2M1]])</f>
        <v>4516</v>
      </c>
      <c r="DJ105" s="193">
        <f>SUM(RD[[#This Row],[IS5Inv1M1]:[IS5Inv2M2]])</f>
        <v>11468.9</v>
      </c>
      <c r="DK105" s="193">
        <f>SUM(RD[[#This Row],[IS8Inv1M1]:[IS9Inv2M2]])</f>
        <v>22151.3</v>
      </c>
      <c r="DL105" s="60">
        <f>SUM(RD[[#This Row],[IS6Inv1M1]:[IS6Inv2M2]])</f>
        <v>11327.6</v>
      </c>
      <c r="DM105" s="275">
        <f>SUM(RD[[#This Row],[IS10Inv1M1]:[IS11Inv1M4]],RD[[#This Row],[IS14Inv1M1]:[IS14Inv2M4]])</f>
        <v>46961.000000000007</v>
      </c>
      <c r="DN105" s="275">
        <f>SUM(RD[[#This Row],[IS12Inv1M1]:[IS12Inv1M4]])</f>
        <v>9800</v>
      </c>
      <c r="DO105" s="275">
        <f>SUM(RD[[#This Row],[IS13Inv1M1]:[IS13Inv2M2]])</f>
        <v>10980</v>
      </c>
      <c r="DP105" s="193">
        <f>SUM(RD[[#This Row],[O2R15]:[O2R26]])</f>
        <v>197441.90000000002</v>
      </c>
      <c r="DQ105" s="158">
        <v>45219.199999999997</v>
      </c>
      <c r="DR105" s="162">
        <v>228.5</v>
      </c>
      <c r="DS105" s="158">
        <v>39530.9</v>
      </c>
      <c r="DT105" s="158">
        <v>240.4</v>
      </c>
      <c r="DU105" s="162">
        <v>46691.6</v>
      </c>
      <c r="DV105" s="162">
        <v>448.6</v>
      </c>
      <c r="DW105" s="158">
        <v>10748.3</v>
      </c>
      <c r="DX105" s="162">
        <v>56.6</v>
      </c>
      <c r="DY105" s="162">
        <v>4136.7</v>
      </c>
      <c r="DZ105" s="162">
        <v>21.7</v>
      </c>
      <c r="EA105" s="134">
        <v>107.99</v>
      </c>
      <c r="EB105" s="230">
        <v>150394454</v>
      </c>
      <c r="EC105" s="229">
        <v>1067231.7439999999</v>
      </c>
      <c r="ED105" s="230">
        <v>1281</v>
      </c>
      <c r="EE105" s="230">
        <v>144594</v>
      </c>
      <c r="EF105" s="158">
        <v>208513.4</v>
      </c>
      <c r="EG105" s="158">
        <v>2050.8000000000002</v>
      </c>
      <c r="EH105" s="140">
        <f>IF((RD[[#This Row],[33 kV_F3_Ex
Incomer1]]-DQ104)*1000&lt;0,0,(RD[[#This Row],[33 kV_F3_Ex
Incomer1]]-DQ104)*1000)</f>
        <v>40899.999999994179</v>
      </c>
      <c r="EI105" s="140">
        <f>IF((RD[[#This Row],[34 kV_F3_Im
Incomer1]]-DR104)*1000&lt;0,0,(RD[[#This Row],[34 kV_F3_Im
Incomer1]]-DR104)*1000)</f>
        <v>400.00000000000568</v>
      </c>
      <c r="EJ105" s="140">
        <f>IF((RD[[#This Row],[33 kV_F4_Ex
Incomer2]]-DS104)*1000&lt;0,0,(RD[[#This Row],[33 kV_F4_Ex
Incomer2]]-DS104)*1000)</f>
        <v>38300.00000000291</v>
      </c>
      <c r="EK105" s="140">
        <f>IF((RD[[#This Row],[34 kV_F4_Im
Incomer2]]-DT104)*1000&lt;0,0,(RD[[#This Row],[34 kV_F4_Im
Incomer2]]-DT104)*1000)</f>
        <v>300.00000000001137</v>
      </c>
      <c r="EL105" s="140">
        <f>IF((RD[[#This Row],[33 kV_F5_Ex
Incomer3]]-DU104)*1000&lt;0,0,(RD[[#This Row],[33 kV_F5_Ex
Incomer3]]-DU104)*1000)</f>
        <v>49500</v>
      </c>
      <c r="EM105" s="140">
        <f>IF((RD[[#This Row],[34 kV_F5_Im
Incomer3]]-DV104)*1000&lt;0,0,(RD[[#This Row],[34 kV_F5_Im
Incomer3]]-DV104)*1000)</f>
        <v>1200.0000000000455</v>
      </c>
      <c r="EN105" s="140">
        <f>IF((RD[[#This Row],[33 kV_F6_Ex
Incomer4]]-DW104)*1000&lt;0,0,(RD[[#This Row],[33 kV_F6_Ex
Incomer4]]-DW104)*1000)</f>
        <v>14599.999999998545</v>
      </c>
      <c r="EO105" s="140">
        <f t="shared" si="166"/>
        <v>300.00000000001137</v>
      </c>
      <c r="EP105" s="140">
        <f>IF((RD[[#This Row],[33 kV_F7_Ex
Incomer5]]-DY104)*1000&lt;0,0,(RD[[#This Row],[33 kV_F7_Ex
Incomer5]]-DY104)*1000)</f>
        <v>44500</v>
      </c>
      <c r="EQ105" s="140">
        <f>IF((RD[[#This Row],[33 kV_F7_Im
Incomer5]]-DZ104)*1000&lt;0,0,(RD[[#This Row],[33 kV_F7_Im
Incomer5]]-DZ104)*1000)</f>
        <v>599.99999999999784</v>
      </c>
      <c r="ER105" s="140">
        <f>IF((RD[[#This Row],[33 kV_Aux Trafo]]-EA104)*1000&lt;0,0,(RD[[#This Row],[33 kV_Aux Trafo]]-EA104)*1000)</f>
        <v>229.99999999998977</v>
      </c>
      <c r="ES105" s="152">
        <f>IF((RD[[#This Row],[33kV_OG1_Ex_]]-EB104)*1&lt;0,0,(RD[[#This Row],[33kV_OG1_Ex_]]-EB104)*1)</f>
        <v>198263</v>
      </c>
      <c r="ET105" s="140">
        <f>IF((RD[[#This Row],[33kV_OG1_Im]]-EC104)*1&lt;0,0,(RD[[#This Row],[33kV_OG1_Im]]-EC104)*1)</f>
        <v>3080.1280000000261</v>
      </c>
      <c r="EU105" s="140">
        <f>IF((RD[[#This Row],[132kV_TX1_EX]]-ED104)*720&lt;=0,"",(RD[[#This Row],[132kV_TX1_EX]]-ED104)*720)</f>
        <v>2880</v>
      </c>
      <c r="EV105" s="140">
        <f>IF((RD[[#This Row],[132 kV_Tx1_Im]]-EE104)*720&lt;=0,0,(RD[[#This Row],[132 kV_Tx1_Im]]-EE104)*720)</f>
        <v>141840</v>
      </c>
      <c r="EW105" s="140">
        <f>IF((RD[[#This Row],[132kV_L1_Ex]]-EF104)*720&lt;=0,0,(RD[[#This Row],[132kV_L1_Ex]]-EF104)*720)</f>
        <v>197567.99999999581</v>
      </c>
      <c r="EX105" s="140">
        <f>IF((RD[[#This Row],[132kV_L1_Im]]-EG104)*720&lt;=0,0,(RD[[#This Row],[132kV_L1_Im]]-EG104)*720)</f>
        <v>3528.0000000000655</v>
      </c>
      <c r="EY105" s="316">
        <f>IFERROR(RD[[#This Row],[33kV_OG1_Ex (MWh)]]+RD[[#This Row],[33kV_OG1_Im (MWh)]],"")</f>
        <v>201343.12800000003</v>
      </c>
      <c r="EZ105" s="142">
        <f>RD[[#This Row],[33kV_OG1_Ex (MWh)]]-RD[[#This Row],[33kV_OG1_Im (MWh)]]</f>
        <v>195182.87199999997</v>
      </c>
      <c r="FA105" s="142">
        <f>IFERROR(RD[[#This Row],[132kV_L1_Ex(MWh)]]-RD[[#This Row],[132kV_L1_Im(MWh)]],"")</f>
        <v>194039.99999999575</v>
      </c>
      <c r="FB105" s="318">
        <f>IFERROR(RD[[#This Row],[33kV_Ex(MWh)]]/RD[[#This Row],[Inv Total Gneration (MWh)]]-1,"")</f>
        <v>1.9758865772665279E-2</v>
      </c>
      <c r="FC105" s="319">
        <f>IFERROR((RD[[#This Row],[Sunset Time (POA&lt;20 W/m2)]]-RD[[#This Row],[Sunrise Time (POA&gt;20 W/m2)]])*24,0)</f>
        <v>12.133333333333333</v>
      </c>
      <c r="FD105" s="233">
        <v>128.08000000000001</v>
      </c>
      <c r="FE105" t="s">
        <v>1296</v>
      </c>
      <c r="FG105" s="138" t="str">
        <f>IFERROR(RD[[#This Row],[E_AC (WPR)]]/RD[[#This Row],[E_DC (WPR)]],"")</f>
        <v/>
      </c>
    </row>
    <row r="106" spans="1:163">
      <c r="A106" s="130">
        <f t="shared" si="167"/>
        <v>45846</v>
      </c>
      <c r="B106" s="132">
        <f>YEAR(RD[[#This Row],[Date]])+IF(MONTH(RD[[#This Row],[Date]])&gt;=4,1,0)</f>
        <v>2026</v>
      </c>
      <c r="C106" s="132">
        <f>YEAR(RD[[#This Row],[Date]])</f>
        <v>2025</v>
      </c>
      <c r="D106" s="133">
        <f t="shared" si="169"/>
        <v>45839</v>
      </c>
      <c r="E106" s="132">
        <f>DAY(EOMONTH(RD[[#This Row],[Date]],0))</f>
        <v>31</v>
      </c>
      <c r="F106" s="146">
        <v>0.26805555555555555</v>
      </c>
      <c r="G106" s="156">
        <v>0.77013888888888893</v>
      </c>
      <c r="H106" s="121">
        <v>2806.5</v>
      </c>
      <c r="I106" s="257">
        <v>2795.5</v>
      </c>
      <c r="J106" s="121">
        <v>2593.8000000000002</v>
      </c>
      <c r="K106" s="121">
        <v>2584.9</v>
      </c>
      <c r="L106" s="121">
        <v>2690.2</v>
      </c>
      <c r="M106" s="121">
        <v>2791.3</v>
      </c>
      <c r="N106" s="121">
        <v>2696.7</v>
      </c>
      <c r="O106" s="121">
        <v>3013.7</v>
      </c>
      <c r="P106" s="121">
        <v>2755.2</v>
      </c>
      <c r="Q106" s="121">
        <v>2679.8</v>
      </c>
      <c r="R106" s="121">
        <v>2716.1</v>
      </c>
      <c r="S106" s="255">
        <v>2766.4</v>
      </c>
      <c r="T106" s="121">
        <v>2831.8</v>
      </c>
      <c r="U106" s="121">
        <v>2699</v>
      </c>
      <c r="V106" s="121">
        <v>2819.9</v>
      </c>
      <c r="W106" s="121">
        <v>2719.2</v>
      </c>
      <c r="X106" s="283">
        <v>3864.7</v>
      </c>
      <c r="Y106" s="192">
        <v>4389.2</v>
      </c>
      <c r="Z106" s="192">
        <v>3792.9</v>
      </c>
      <c r="AA106" s="192">
        <v>3976</v>
      </c>
      <c r="AB106" s="283">
        <v>4136.5</v>
      </c>
      <c r="AC106" s="192">
        <v>2492.1999999999998</v>
      </c>
      <c r="AD106" s="192">
        <v>3837.3</v>
      </c>
      <c r="AE106" s="192">
        <v>3922.7</v>
      </c>
      <c r="AF106" s="283">
        <v>3798.4</v>
      </c>
      <c r="AG106" s="192">
        <v>3846</v>
      </c>
      <c r="AH106" s="192">
        <v>3824.5</v>
      </c>
      <c r="AI106" s="283">
        <v>3836.9</v>
      </c>
      <c r="AJ106" s="136">
        <v>3076.5</v>
      </c>
      <c r="AK106" s="136">
        <v>3195</v>
      </c>
      <c r="AL106" s="136">
        <v>3162.2</v>
      </c>
      <c r="AM106" s="136">
        <v>3199.2</v>
      </c>
      <c r="AN106" s="136">
        <v>3156.4</v>
      </c>
      <c r="AO106" s="136">
        <v>3279.2</v>
      </c>
      <c r="AP106" s="136">
        <v>3217.5</v>
      </c>
      <c r="AQ106" s="136">
        <v>3028.2</v>
      </c>
      <c r="AR106" s="136">
        <v>2500.6</v>
      </c>
      <c r="AS106" s="136">
        <v>2519.3000000000002</v>
      </c>
      <c r="AT106" s="136">
        <v>2532.8000000000002</v>
      </c>
      <c r="AU106" s="136">
        <v>2515.5</v>
      </c>
      <c r="AV106" s="136">
        <v>2569.8000000000002</v>
      </c>
      <c r="AW106" s="136">
        <v>2532.5</v>
      </c>
      <c r="AX106" s="136">
        <v>3631.4</v>
      </c>
      <c r="AY106" s="136">
        <v>4127.5</v>
      </c>
      <c r="AZ106" s="136">
        <v>2884.7</v>
      </c>
      <c r="BA106" s="136">
        <v>3666.9</v>
      </c>
      <c r="BB106" s="136">
        <v>4041.2</v>
      </c>
      <c r="BC106" s="136">
        <v>3732.6</v>
      </c>
      <c r="BD106" s="136">
        <v>2495.6</v>
      </c>
      <c r="BE106" s="136">
        <v>3537.4</v>
      </c>
      <c r="BF106" s="136">
        <v>4112.6000000000004</v>
      </c>
      <c r="BG106" s="136">
        <v>4211.5</v>
      </c>
      <c r="BH106" s="136">
        <v>4064.4</v>
      </c>
      <c r="BI106" s="136">
        <v>4260.3999999999996</v>
      </c>
      <c r="BJ106" s="136">
        <v>2687.3</v>
      </c>
      <c r="BK106" s="136">
        <v>2127.5</v>
      </c>
      <c r="BL106" s="136">
        <v>2585.8000000000002</v>
      </c>
      <c r="BM106" s="136">
        <v>2558</v>
      </c>
      <c r="BN106" s="136">
        <v>2859</v>
      </c>
      <c r="BO106" s="136">
        <v>2733.2</v>
      </c>
      <c r="BP106" s="136">
        <v>3010.9</v>
      </c>
      <c r="BQ106" s="136">
        <v>2950</v>
      </c>
      <c r="BR106" s="136">
        <v>3134</v>
      </c>
      <c r="BS106" s="136">
        <v>3237</v>
      </c>
      <c r="BT106" s="136">
        <v>3041.7</v>
      </c>
      <c r="BU106" s="136">
        <v>3382</v>
      </c>
      <c r="BV106" s="192">
        <v>2698.3</v>
      </c>
      <c r="BW106" s="192">
        <v>2489.1999999999998</v>
      </c>
      <c r="BX106" s="192">
        <v>2326.4</v>
      </c>
      <c r="BY106" s="192">
        <v>2647.8</v>
      </c>
      <c r="BZ106" s="136">
        <v>1141.7</v>
      </c>
      <c r="CA106" s="136">
        <v>282.60000000000002</v>
      </c>
      <c r="CB106" s="136">
        <v>2536.9</v>
      </c>
      <c r="CC106" s="136">
        <v>2769.5</v>
      </c>
      <c r="CD106" s="195">
        <v>2.088309049999999</v>
      </c>
      <c r="CE106" s="59">
        <v>1.776724983333331</v>
      </c>
      <c r="CF106" s="195">
        <v>1.6185729166666685</v>
      </c>
      <c r="CG106" s="195">
        <v>1.7621407500000013</v>
      </c>
      <c r="CH106" s="195">
        <v>0.22723991666666646</v>
      </c>
      <c r="CI106" s="195">
        <v>0.23895706666666675</v>
      </c>
      <c r="CJ106" s="59">
        <v>0.2874424166666667</v>
      </c>
      <c r="CK106" s="59">
        <v>0.22783775000000006</v>
      </c>
      <c r="CL106" s="195">
        <v>25.321915444348605</v>
      </c>
      <c r="CM106" s="195">
        <v>24.997250213492649</v>
      </c>
      <c r="CN106" s="195">
        <v>32.71122864538394</v>
      </c>
      <c r="CO106" s="195">
        <v>29.738333048676349</v>
      </c>
      <c r="CP106" s="195">
        <v>93.233132010353714</v>
      </c>
      <c r="CQ106" s="195">
        <v>92.954073441503056</v>
      </c>
      <c r="CR106" s="195">
        <v>0.12683347713546156</v>
      </c>
      <c r="CS106" s="59">
        <v>0.13383432963279152</v>
      </c>
      <c r="CT106" s="195">
        <v>0.89791889559965554</v>
      </c>
      <c r="CU106" s="195">
        <v>0.96524679760888055</v>
      </c>
      <c r="CV106" s="195">
        <v>1.77</v>
      </c>
      <c r="CW106" s="247">
        <v>2.19</v>
      </c>
      <c r="CX106" s="193">
        <f>IFERROR(AVERAGEIF(RD[[#This Row],[IS1POA1 (KWh/m2)]:[IS7POA2 (KWh/m2)]],"&lt;&gt;0",RD[[#This Row],[IS1POA1 (KWh/m2)]:[IS7POA2 (KWh/m2)]]),"")</f>
        <v>1.932517016666665</v>
      </c>
      <c r="CY106" s="193">
        <f>IFERROR(AVERAGEIF(RD[[#This Row],[IS1GHI1 (KWh/m2)]:[IS7GHI2 (KWh/m2)]],"&lt;&gt;0",RD[[#This Row],[IS1GHI1 (KWh/m2)]:[IS7GHI2 (KWh/m2)]]),"")</f>
        <v>1.6903568333333348</v>
      </c>
      <c r="CZ106" s="193">
        <f>IFERROR(AVERAGEIF(RD[[#This Row],[IS1POA_BS1 (KWh/m2)]:[IS7POA_BS2 (KWh/m2)]],"&lt;&gt;0",RD[[#This Row],[IS1POA_BS1 (KWh/m2)]:[IS7POA_BS2 (KWh/m2)]]),"")</f>
        <v>0.2330984916666666</v>
      </c>
      <c r="DA106" s="193">
        <f>IFERROR(AVERAGEIF(RD[[#This Row],[IS1GHI_BS1 (KWh/m2)]:[IS1GHI_BS1 (KWh/m2)2]],"&lt;&gt;0",RD[[#This Row],[IS1GHI_BS1 (KWh/m2)]:[IS1GHI_BS1 (KWh/m2)2]]),"")</f>
        <v>0.25764008333333338</v>
      </c>
      <c r="DB106" s="193">
        <f>IFERROR(AVERAGEIF(RD[[#This Row],[IS1AT1 (°C)]:[IS7AT2 (°C)]],"&lt;&gt;0",RD[[#This Row],[IS1AT1 (°C)]:[IS7AT2 (°C)]]),"")</f>
        <v>25.159582828920627</v>
      </c>
      <c r="DC106" s="193">
        <f>IFERROR(AVERAGEIF(RD[[#This Row],[IS1MT1 (°C)]:[IS7MT2 (°C)]],"&lt;&gt;0",RD[[#This Row],[IS1MT1 (°C)]:[IS7MT2 (°C)]]),"")</f>
        <v>31.224780847030146</v>
      </c>
      <c r="DD106" s="193">
        <f>IFERROR(AVERAGEIF(RD[[#This Row],[IS1RH1 (%)]:[IS7RH2 (%)]],"&lt;&gt;0",RD[[#This Row],[IS1RH1 (%)]:[IS7RH2 (%)]]),"")</f>
        <v>93.093602725928378</v>
      </c>
      <c r="DE106" s="193">
        <f>IFERROR(AVERAGEIF(RD[[#This Row],[IS1Rain1 (mm)]:[IS7Rain2 (mm)]],"&lt;&gt;0",RD[[#This Row],[IS1Rain1 (mm)]:[IS7Rain2 (mm)]]),"")</f>
        <v>0.13033390338412654</v>
      </c>
      <c r="DF106" s="193">
        <f>IFERROR(AVERAGEIF(RD[[#This Row],[WS_Solar1_Avg (m/s)]:[IS7_WS_Solar1_Avg (m/s)]],"&lt;&gt;0",RD[[#This Row],[WS_Solar1_Avg (m/s)]:[IS7_WS_Solar1_Avg (m/s)]]),"")</f>
        <v>0.93158284660426804</v>
      </c>
      <c r="DG106" s="193">
        <f>IFERROR(AVERAGEIF(RD[[#This Row],[WS_Solar1_Max (m/s)]:[IS7_WS_Solar1_Max (m/s)]],"&lt;&gt;0",RD[[#This Row],[WS_Solar1_Max (m/s)]:[IS7_WS_Solar1_Max (m/s)]]),"")</f>
        <v>1.98</v>
      </c>
      <c r="DH106" s="193">
        <f>SUM(RD[[#This Row],[IS1Inv1M1]:[IS4Inv4M2]])</f>
        <v>89677.299999999988</v>
      </c>
      <c r="DI106" s="194">
        <f>SUM(RD[[#This Row],[IS7Inv1M1]]+RD[[#This Row],[IS7Inv2M1]])</f>
        <v>5019.8999999999996</v>
      </c>
      <c r="DJ106" s="193">
        <f>SUM(RD[[#This Row],[IS5Inv1M1]:[IS5Inv2M2]])</f>
        <v>12632.900000000001</v>
      </c>
      <c r="DK106" s="193">
        <f>SUM(RD[[#This Row],[IS8Inv1M1]:[IS9Inv2M2]])</f>
        <v>24461.100000000002</v>
      </c>
      <c r="DL106" s="60">
        <f>SUM(RD[[#This Row],[IS6Inv1M1]:[IS6Inv2M2]])</f>
        <v>12681.3</v>
      </c>
      <c r="DM106" s="275">
        <f>SUM(RD[[#This Row],[IS10Inv1M1]:[IS11Inv1M4]],RD[[#This Row],[IS14Inv1M1]:[IS14Inv2M4]])</f>
        <v>57306.700000000012</v>
      </c>
      <c r="DN106" s="275">
        <f>SUM(RD[[#This Row],[IS12Inv1M1]:[IS12Inv1M4]])</f>
        <v>11553.1</v>
      </c>
      <c r="DO106" s="275">
        <f>SUM(RD[[#This Row],[IS13Inv1M1]:[IS13Inv2M2]])</f>
        <v>12794.7</v>
      </c>
      <c r="DP106" s="193">
        <f>SUM(RD[[#This Row],[O2R15]:[O2R26]])</f>
        <v>226127</v>
      </c>
      <c r="DQ106" s="158">
        <v>45264.6</v>
      </c>
      <c r="DR106" s="162">
        <v>228.9</v>
      </c>
      <c r="DS106" s="158">
        <v>39573.599999999999</v>
      </c>
      <c r="DT106" s="158">
        <v>240.7</v>
      </c>
      <c r="DU106" s="162">
        <v>46746.400000000001</v>
      </c>
      <c r="DV106" s="162">
        <v>449.9</v>
      </c>
      <c r="DW106" s="158">
        <v>10765.5</v>
      </c>
      <c r="DX106" s="162">
        <v>56.9</v>
      </c>
      <c r="DY106" s="162">
        <v>4190.3</v>
      </c>
      <c r="DZ106" s="162">
        <v>22.3</v>
      </c>
      <c r="EA106" s="134">
        <v>108.2</v>
      </c>
      <c r="EB106" s="230">
        <v>150620979</v>
      </c>
      <c r="EC106" s="229">
        <v>1070458.112</v>
      </c>
      <c r="ED106" s="230">
        <v>1284</v>
      </c>
      <c r="EE106" s="230">
        <v>144819</v>
      </c>
      <c r="EF106" s="158">
        <v>208827</v>
      </c>
      <c r="EG106" s="158">
        <v>2056</v>
      </c>
      <c r="EH106" s="140">
        <f>IF((RD[[#This Row],[33 kV_F3_Ex
Incomer1]]-DQ105)*1000&lt;0,0,(RD[[#This Row],[33 kV_F3_Ex
Incomer1]]-DQ105)*1000)</f>
        <v>45400.000000001455</v>
      </c>
      <c r="EI106" s="140">
        <f>IF((RD[[#This Row],[34 kV_F3_Im
Incomer1]]-DR105)*1000&lt;0,0,(RD[[#This Row],[34 kV_F3_Im
Incomer1]]-DR105)*1000)</f>
        <v>400.00000000000568</v>
      </c>
      <c r="EJ106" s="140">
        <f>IF((RD[[#This Row],[33 kV_F4_Ex
Incomer2]]-DS105)*1000&lt;0,0,(RD[[#This Row],[33 kV_F4_Ex
Incomer2]]-DS105)*1000)</f>
        <v>42699.99999999709</v>
      </c>
      <c r="EK106" s="140">
        <f>IF((RD[[#This Row],[34 kV_F4_Im
Incomer2]]-DT105)*1000&lt;0,0,(RD[[#This Row],[34 kV_F4_Im
Incomer2]]-DT105)*1000)</f>
        <v>299.99999999998295</v>
      </c>
      <c r="EL106" s="140">
        <f>IF((RD[[#This Row],[33 kV_F5_Ex
Incomer3]]-DU105)*1000&lt;0,0,(RD[[#This Row],[33 kV_F5_Ex
Incomer3]]-DU105)*1000)</f>
        <v>54800.00000000291</v>
      </c>
      <c r="EM106" s="140">
        <f>IF((RD[[#This Row],[34 kV_F5_Im
Incomer3]]-DV105)*1000&lt;0,0,(RD[[#This Row],[34 kV_F5_Im
Incomer3]]-DV105)*1000)</f>
        <v>1299.9999999999545</v>
      </c>
      <c r="EN106" s="140">
        <f>IF((RD[[#This Row],[33 kV_F6_Ex
Incomer4]]-DW105)*1000&lt;0,0,(RD[[#This Row],[33 kV_F6_Ex
Incomer4]]-DW105)*1000)</f>
        <v>17200.000000000728</v>
      </c>
      <c r="EO106" s="140">
        <f t="shared" si="166"/>
        <v>400.00000000000568</v>
      </c>
      <c r="EP106" s="140">
        <f>IF((RD[[#This Row],[33 kV_F7_Ex
Incomer5]]-DY105)*1000&lt;0,0,(RD[[#This Row],[33 kV_F7_Ex
Incomer5]]-DY105)*1000)</f>
        <v>53600.000000000364</v>
      </c>
      <c r="EQ106" s="140">
        <f>IF((RD[[#This Row],[33 kV_F7_Im
Incomer5]]-DZ105)*1000&lt;0,0,(RD[[#This Row],[33 kV_F7_Im
Incomer5]]-DZ105)*1000)</f>
        <v>600.00000000000136</v>
      </c>
      <c r="ER106" s="140">
        <f>IF((RD[[#This Row],[33 kV_Aux Trafo]]-EA105)*1000&lt;0,0,(RD[[#This Row],[33 kV_Aux Trafo]]-EA105)*1000)</f>
        <v>210.00000000000796</v>
      </c>
      <c r="ES106" s="152">
        <f>IF((RD[[#This Row],[33kV_OG1_Ex_]]-EB105)*1&lt;0,0,(RD[[#This Row],[33kV_OG1_Ex_]]-EB105)*1)</f>
        <v>226525</v>
      </c>
      <c r="ET106" s="140">
        <f>IF((RD[[#This Row],[33kV_OG1_Im]]-EC105)*1&lt;0,0,(RD[[#This Row],[33kV_OG1_Im]]-EC105)*1)</f>
        <v>3226.3680000000168</v>
      </c>
      <c r="EU106" s="140">
        <f>IF((RD[[#This Row],[132kV_TX1_EX]]-ED105)*720&lt;=0,"",(RD[[#This Row],[132kV_TX1_EX]]-ED105)*720)</f>
        <v>2160</v>
      </c>
      <c r="EV106" s="140">
        <f>IF((RD[[#This Row],[132 kV_Tx1_Im]]-EE105)*720&lt;=0,0,(RD[[#This Row],[132 kV_Tx1_Im]]-EE105)*720)</f>
        <v>162000</v>
      </c>
      <c r="EW106" s="140">
        <f>IF((RD[[#This Row],[132kV_L1_Ex]]-EF105)*720&lt;=0,0,(RD[[#This Row],[132kV_L1_Ex]]-EF105)*720)</f>
        <v>225792.00000000419</v>
      </c>
      <c r="EX106" s="140">
        <f>IF((RD[[#This Row],[132kV_L1_Im]]-EG105)*720&lt;=0,0,(RD[[#This Row],[132kV_L1_Im]]-EG105)*720)</f>
        <v>3743.999999999869</v>
      </c>
      <c r="EY106" s="316">
        <f>IFERROR(RD[[#This Row],[33kV_OG1_Ex (MWh)]]+RD[[#This Row],[33kV_OG1_Im (MWh)]],"")</f>
        <v>229751.36800000002</v>
      </c>
      <c r="EZ106" s="142">
        <f>RD[[#This Row],[33kV_OG1_Ex (MWh)]]-RD[[#This Row],[33kV_OG1_Im (MWh)]]</f>
        <v>223298.63199999998</v>
      </c>
      <c r="FA106" s="142">
        <f>IFERROR(RD[[#This Row],[132kV_L1_Ex(MWh)]]-RD[[#This Row],[132kV_L1_Im(MWh)]],"")</f>
        <v>222048.00000000431</v>
      </c>
      <c r="FB106" s="318">
        <f>IFERROR(RD[[#This Row],[33kV_Ex(MWh)]]/RD[[#This Row],[Inv Total Gneration (MWh)]]-1,"")</f>
        <v>1.6028019652673198E-2</v>
      </c>
      <c r="FC106" s="319">
        <f>IFERROR((RD[[#This Row],[Sunset Time (POA&lt;20 W/m2)]]-RD[[#This Row],[Sunrise Time (POA&gt;20 W/m2)]])*24,0)</f>
        <v>12.050000000000002</v>
      </c>
      <c r="FD106" s="233">
        <v>128.08000000000001</v>
      </c>
      <c r="FE106" t="s">
        <v>1298</v>
      </c>
      <c r="FG106" s="138" t="str">
        <f>IFERROR(RD[[#This Row],[E_AC (WPR)]]/RD[[#This Row],[E_DC (WPR)]],"")</f>
        <v/>
      </c>
    </row>
    <row r="107" spans="1:163">
      <c r="A107" s="130">
        <f t="shared" si="167"/>
        <v>45847</v>
      </c>
      <c r="B107" s="132">
        <f>YEAR(RD[[#This Row],[Date]])+IF(MONTH(RD[[#This Row],[Date]])&gt;=4,1,0)</f>
        <v>2026</v>
      </c>
      <c r="C107" s="132">
        <f>YEAR(RD[[#This Row],[Date]])</f>
        <v>2025</v>
      </c>
      <c r="D107" s="133">
        <f t="shared" si="169"/>
        <v>45839</v>
      </c>
      <c r="E107" s="132">
        <f>DAY(EOMONTH(RD[[#This Row],[Date]],0))</f>
        <v>31</v>
      </c>
      <c r="F107" s="146">
        <v>0.29375000000000001</v>
      </c>
      <c r="G107" s="156">
        <v>0.78333333333333333</v>
      </c>
      <c r="H107" s="121">
        <v>3048.1</v>
      </c>
      <c r="I107" s="257">
        <v>3040.8</v>
      </c>
      <c r="J107" s="121">
        <v>2822.9</v>
      </c>
      <c r="K107" s="121">
        <v>2817.6</v>
      </c>
      <c r="L107" s="121">
        <v>2933.7</v>
      </c>
      <c r="M107" s="121">
        <v>3036.4</v>
      </c>
      <c r="N107" s="121">
        <v>2903.1</v>
      </c>
      <c r="O107" s="121">
        <v>3270.8</v>
      </c>
      <c r="P107" s="121">
        <v>2999.7</v>
      </c>
      <c r="Q107" s="121">
        <v>2932.1</v>
      </c>
      <c r="R107" s="121">
        <v>2975</v>
      </c>
      <c r="S107" s="255">
        <v>3028.9</v>
      </c>
      <c r="T107" s="121">
        <v>3085.1</v>
      </c>
      <c r="U107" s="121">
        <v>2963.2</v>
      </c>
      <c r="V107" s="121">
        <v>3080.7</v>
      </c>
      <c r="W107" s="121">
        <v>2962.6</v>
      </c>
      <c r="X107" s="283">
        <v>4214.8</v>
      </c>
      <c r="Y107" s="192">
        <v>4801.7</v>
      </c>
      <c r="Z107" s="192">
        <v>4121.8</v>
      </c>
      <c r="AA107" s="192">
        <v>4319.5</v>
      </c>
      <c r="AB107" s="283">
        <v>4574</v>
      </c>
      <c r="AC107" s="192">
        <v>2758.1</v>
      </c>
      <c r="AD107" s="192">
        <v>4245.2</v>
      </c>
      <c r="AE107" s="192">
        <v>4347.7</v>
      </c>
      <c r="AF107" s="283">
        <v>4197.7</v>
      </c>
      <c r="AG107" s="192">
        <v>4228</v>
      </c>
      <c r="AH107" s="192">
        <v>4221.8</v>
      </c>
      <c r="AI107" s="283">
        <v>4243</v>
      </c>
      <c r="AJ107" s="136">
        <v>3459.5</v>
      </c>
      <c r="AK107" s="136">
        <v>3589.4</v>
      </c>
      <c r="AL107" s="136">
        <v>3548.5</v>
      </c>
      <c r="AM107" s="136">
        <v>3585.6</v>
      </c>
      <c r="AN107" s="136">
        <v>3549.2</v>
      </c>
      <c r="AO107" s="136">
        <v>3688.8</v>
      </c>
      <c r="AP107" s="136">
        <v>3615</v>
      </c>
      <c r="AQ107" s="136">
        <v>3473.2</v>
      </c>
      <c r="AR107" s="136">
        <v>2828.9</v>
      </c>
      <c r="AS107" s="136">
        <v>2850.7</v>
      </c>
      <c r="AT107" s="136">
        <v>2863.8</v>
      </c>
      <c r="AU107" s="136">
        <v>2840.5</v>
      </c>
      <c r="AV107" s="136">
        <v>2904.3</v>
      </c>
      <c r="AW107" s="136">
        <v>2864.4</v>
      </c>
      <c r="AX107" s="136">
        <v>4085.6</v>
      </c>
      <c r="AY107" s="136">
        <v>4649.5</v>
      </c>
      <c r="AZ107" s="136">
        <v>3367.7</v>
      </c>
      <c r="BA107" s="136">
        <v>4140.8</v>
      </c>
      <c r="BB107" s="136">
        <v>4274.2</v>
      </c>
      <c r="BC107" s="136">
        <v>3857.4</v>
      </c>
      <c r="BD107" s="136">
        <v>3618.3</v>
      </c>
      <c r="BE107" s="136">
        <v>4002.6</v>
      </c>
      <c r="BF107" s="136">
        <v>4326</v>
      </c>
      <c r="BG107" s="136">
        <v>4425.8999999999996</v>
      </c>
      <c r="BH107" s="136">
        <v>4356.2</v>
      </c>
      <c r="BI107" s="136">
        <v>4486.1000000000004</v>
      </c>
      <c r="BJ107" s="136">
        <v>2843.9</v>
      </c>
      <c r="BK107" s="136">
        <v>2248.5</v>
      </c>
      <c r="BL107" s="136">
        <v>2741.7</v>
      </c>
      <c r="BM107" s="136">
        <v>2711</v>
      </c>
      <c r="BN107" s="136">
        <v>3005.4</v>
      </c>
      <c r="BO107" s="136">
        <v>2871.5</v>
      </c>
      <c r="BP107" s="136">
        <v>3167.4</v>
      </c>
      <c r="BQ107" s="136">
        <v>3107.6</v>
      </c>
      <c r="BR107" s="136">
        <v>3291</v>
      </c>
      <c r="BS107" s="136">
        <v>3416.7</v>
      </c>
      <c r="BT107" s="136">
        <v>3195</v>
      </c>
      <c r="BU107" s="136">
        <v>3546</v>
      </c>
      <c r="BV107" s="192">
        <v>2833.1</v>
      </c>
      <c r="BW107" s="192">
        <v>2615.1</v>
      </c>
      <c r="BX107" s="192">
        <v>2421.9</v>
      </c>
      <c r="BY107" s="192">
        <v>2777.5</v>
      </c>
      <c r="BZ107" s="136">
        <v>1195.8</v>
      </c>
      <c r="CA107" s="136">
        <v>302.2</v>
      </c>
      <c r="CB107" s="136">
        <v>2671.7</v>
      </c>
      <c r="CC107" s="136">
        <v>2918.4</v>
      </c>
      <c r="CD107" s="195">
        <v>2.2716685500000002</v>
      </c>
      <c r="CE107" s="59">
        <v>2.0019952166666664</v>
      </c>
      <c r="CF107" s="195">
        <v>1.7669882666666668</v>
      </c>
      <c r="CG107" s="195">
        <v>2.0094085833333346</v>
      </c>
      <c r="CH107" s="195">
        <v>0.27288571666666661</v>
      </c>
      <c r="CI107" s="195">
        <v>0.26281523333333345</v>
      </c>
      <c r="CJ107" s="59">
        <v>0.30950693333333301</v>
      </c>
      <c r="CK107" s="59">
        <v>0.26148331666666652</v>
      </c>
      <c r="CL107" s="195">
        <v>25.535888501742203</v>
      </c>
      <c r="CM107" s="195">
        <v>24.804799651567869</v>
      </c>
      <c r="CN107" s="195">
        <v>32.858900696864048</v>
      </c>
      <c r="CO107" s="195">
        <v>29.988362369338031</v>
      </c>
      <c r="CP107" s="195">
        <v>96.140975609756268</v>
      </c>
      <c r="CQ107" s="195">
        <v>95.677979094076534</v>
      </c>
      <c r="CR107" s="195">
        <v>0.21951219512194989</v>
      </c>
      <c r="CS107" s="59">
        <v>0.16717770034842988</v>
      </c>
      <c r="CT107" s="195">
        <v>0.86263066202090521</v>
      </c>
      <c r="CU107" s="195">
        <v>0.96898432055749106</v>
      </c>
      <c r="CV107" s="195">
        <v>2.04</v>
      </c>
      <c r="CW107" s="247">
        <v>2.6339999999999999</v>
      </c>
      <c r="CX107" s="193">
        <f>IFERROR(AVERAGEIF(RD[[#This Row],[IS1POA1 (KWh/m2)]:[IS7POA2 (KWh/m2)]],"&lt;&gt;0",RD[[#This Row],[IS1POA1 (KWh/m2)]:[IS7POA2 (KWh/m2)]]),"")</f>
        <v>2.1368318833333335</v>
      </c>
      <c r="CY107" s="193">
        <f>IFERROR(AVERAGEIF(RD[[#This Row],[IS1GHI1 (KWh/m2)]:[IS7GHI2 (KWh/m2)]],"&lt;&gt;0",RD[[#This Row],[IS1GHI1 (KWh/m2)]:[IS7GHI2 (KWh/m2)]]),"")</f>
        <v>1.8881984250000006</v>
      </c>
      <c r="CZ107" s="193">
        <f>IFERROR(AVERAGEIF(RD[[#This Row],[IS1POA_BS1 (KWh/m2)]:[IS7POA_BS2 (KWh/m2)]],"&lt;&gt;0",RD[[#This Row],[IS1POA_BS1 (KWh/m2)]:[IS7POA_BS2 (KWh/m2)]]),"")</f>
        <v>0.26785047500000003</v>
      </c>
      <c r="DA107" s="193">
        <f>IFERROR(AVERAGEIF(RD[[#This Row],[IS1GHI_BS1 (KWh/m2)]:[IS1GHI_BS1 (KWh/m2)2]],"&lt;&gt;0",RD[[#This Row],[IS1GHI_BS1 (KWh/m2)]:[IS1GHI_BS1 (KWh/m2)2]]),"")</f>
        <v>0.28549512499999974</v>
      </c>
      <c r="DB107" s="193">
        <f>IFERROR(AVERAGEIF(RD[[#This Row],[IS1AT1 (°C)]:[IS7AT2 (°C)]],"&lt;&gt;0",RD[[#This Row],[IS1AT1 (°C)]:[IS7AT2 (°C)]]),"")</f>
        <v>25.170344076655034</v>
      </c>
      <c r="DC107" s="193">
        <f>IFERROR(AVERAGEIF(RD[[#This Row],[IS1MT1 (°C)]:[IS7MT2 (°C)]],"&lt;&gt;0",RD[[#This Row],[IS1MT1 (°C)]:[IS7MT2 (°C)]]),"")</f>
        <v>31.423631533101037</v>
      </c>
      <c r="DD107" s="193">
        <f>IFERROR(AVERAGEIF(RD[[#This Row],[IS1RH1 (%)]:[IS7RH2 (%)]],"&lt;&gt;0",RD[[#This Row],[IS1RH1 (%)]:[IS7RH2 (%)]]),"")</f>
        <v>95.909477351916394</v>
      </c>
      <c r="DE107" s="193">
        <f>IFERROR(AVERAGEIF(RD[[#This Row],[IS1Rain1 (mm)]:[IS7Rain2 (mm)]],"&lt;&gt;0",RD[[#This Row],[IS1Rain1 (mm)]:[IS7Rain2 (mm)]]),"")</f>
        <v>0.1933449477351899</v>
      </c>
      <c r="DF107" s="193">
        <f>IFERROR(AVERAGEIF(RD[[#This Row],[WS_Solar1_Avg (m/s)]:[IS7_WS_Solar1_Avg (m/s)]],"&lt;&gt;0",RD[[#This Row],[WS_Solar1_Avg (m/s)]:[IS7_WS_Solar1_Avg (m/s)]]),"")</f>
        <v>0.91580749128919814</v>
      </c>
      <c r="DG107" s="193">
        <f>IFERROR(AVERAGEIF(RD[[#This Row],[WS_Solar1_Max (m/s)]:[IS7_WS_Solar1_Max (m/s)]],"&lt;&gt;0",RD[[#This Row],[WS_Solar1_Max (m/s)]:[IS7_WS_Solar1_Max (m/s)]]),"")</f>
        <v>2.3369999999999997</v>
      </c>
      <c r="DH107" s="193">
        <f>SUM(RD[[#This Row],[IS1Inv1M1]:[IS4Inv4M2]])</f>
        <v>98174</v>
      </c>
      <c r="DI107" s="194">
        <f>SUM(RD[[#This Row],[IS7Inv1M1]]+RD[[#This Row],[IS7Inv2M1]])</f>
        <v>5679.6</v>
      </c>
      <c r="DJ107" s="193">
        <f>SUM(RD[[#This Row],[IS5Inv1M1]:[IS5Inv2M2]])</f>
        <v>14183</v>
      </c>
      <c r="DK107" s="193">
        <f>SUM(RD[[#This Row],[IS8Inv1M1]:[IS9Inv2M2]])</f>
        <v>27716.6</v>
      </c>
      <c r="DL107" s="60">
        <f>SUM(RD[[#This Row],[IS6Inv1M1]:[IS6Inv2M2]])</f>
        <v>14326.2</v>
      </c>
      <c r="DM107" s="275">
        <f>SUM(RD[[#This Row],[IS10Inv1M1]:[IS11Inv1M4]],RD[[#This Row],[IS14Inv1M1]:[IS14Inv2M4]])</f>
        <v>61627.5</v>
      </c>
      <c r="DN107" s="275">
        <f>SUM(RD[[#This Row],[IS12Inv1M1]:[IS12Inv1M4]])</f>
        <v>12151.9</v>
      </c>
      <c r="DO107" s="275">
        <f>SUM(RD[[#This Row],[IS13Inv1M1]:[IS13Inv2M2]])</f>
        <v>13448.7</v>
      </c>
      <c r="DP107" s="193">
        <f>SUM(RD[[#This Row],[O2R15]:[O2R26]])</f>
        <v>247307.50000000003</v>
      </c>
      <c r="DQ107" s="158">
        <v>45314.6</v>
      </c>
      <c r="DR107" s="162">
        <v>229.3</v>
      </c>
      <c r="DS107" s="158">
        <v>39620.199999999997</v>
      </c>
      <c r="DT107" s="158">
        <v>241.1</v>
      </c>
      <c r="DU107" s="162">
        <v>46808.3</v>
      </c>
      <c r="DV107" s="162">
        <v>451.2</v>
      </c>
      <c r="DW107" s="158">
        <v>10783.6</v>
      </c>
      <c r="DX107" s="162">
        <v>57.1</v>
      </c>
      <c r="DY107" s="162">
        <v>4247.2</v>
      </c>
      <c r="DZ107" s="162">
        <v>23</v>
      </c>
      <c r="EA107" s="134">
        <v>108.42</v>
      </c>
      <c r="EB107" s="230">
        <v>150868393</v>
      </c>
      <c r="EC107" s="229">
        <v>1073537.6000000001</v>
      </c>
      <c r="ED107" s="230">
        <v>1288</v>
      </c>
      <c r="EE107" s="230">
        <v>145066</v>
      </c>
      <c r="EF107" s="158">
        <v>209169.5</v>
      </c>
      <c r="EG107" s="158">
        <v>2061</v>
      </c>
      <c r="EH107" s="140">
        <f>IF((RD[[#This Row],[33 kV_F3_Ex
Incomer1]]-DQ106)*1000&lt;0,0,(RD[[#This Row],[33 kV_F3_Ex
Incomer1]]-DQ106)*1000)</f>
        <v>50000</v>
      </c>
      <c r="EI107" s="140">
        <f>IF((RD[[#This Row],[34 kV_F3_Im
Incomer1]]-DR106)*1000&lt;0,0,(RD[[#This Row],[34 kV_F3_Im
Incomer1]]-DR106)*1000)</f>
        <v>400.00000000000568</v>
      </c>
      <c r="EJ107" s="140">
        <f>IF((RD[[#This Row],[33 kV_F4_Ex
Incomer2]]-DS106)*1000&lt;0,0,(RD[[#This Row],[33 kV_F4_Ex
Incomer2]]-DS106)*1000)</f>
        <v>46599.999999998545</v>
      </c>
      <c r="EK107" s="140">
        <f>IF((RD[[#This Row],[34 kV_F4_Im
Incomer2]]-DT106)*1000&lt;0,0,(RD[[#This Row],[34 kV_F4_Im
Incomer2]]-DT106)*1000)</f>
        <v>400.00000000000568</v>
      </c>
      <c r="EL107" s="140">
        <f>IF((RD[[#This Row],[33 kV_F5_Ex
Incomer3]]-DU106)*1000&lt;0,0,(RD[[#This Row],[33 kV_F5_Ex
Incomer3]]-DU106)*1000)</f>
        <v>61900.000000001455</v>
      </c>
      <c r="EM107" s="140">
        <f>IF((RD[[#This Row],[34 kV_F5_Im
Incomer3]]-DV106)*1000&lt;0,0,(RD[[#This Row],[34 kV_F5_Im
Incomer3]]-DV106)*1000)</f>
        <v>1300.0000000000114</v>
      </c>
      <c r="EN107" s="140">
        <f>IF((RD[[#This Row],[33 kV_F6_Ex
Incomer4]]-DW106)*1000&lt;0,0,(RD[[#This Row],[33 kV_F6_Ex
Incomer4]]-DW106)*1000)</f>
        <v>18100.000000000364</v>
      </c>
      <c r="EO107" s="140">
        <f t="shared" si="166"/>
        <v>299.99999999998295</v>
      </c>
      <c r="EP107" s="140">
        <f>IF((RD[[#This Row],[33 kV_F7_Ex
Incomer5]]-DY106)*1000&lt;0,0,(RD[[#This Row],[33 kV_F7_Ex
Incomer5]]-DY106)*1000)</f>
        <v>56899.999999999636</v>
      </c>
      <c r="EQ107" s="140">
        <f>IF((RD[[#This Row],[33 kV_F7_Im
Incomer5]]-DZ106)*1000&lt;0,0,(RD[[#This Row],[33 kV_F7_Im
Incomer5]]-DZ106)*1000)</f>
        <v>699.99999999999932</v>
      </c>
      <c r="ER107" s="140">
        <f>IF((RD[[#This Row],[33 kV_Aux Trafo]]-EA106)*1000&lt;0,0,(RD[[#This Row],[33 kV_Aux Trafo]]-EA106)*1000)</f>
        <v>219.99999999999886</v>
      </c>
      <c r="ES107" s="152">
        <f>IF((RD[[#This Row],[33kV_OG1_Ex_]]-EB106)*1&lt;0,0,(RD[[#This Row],[33kV_OG1_Ex_]]-EB106)*1)</f>
        <v>247414</v>
      </c>
      <c r="ET107" s="140">
        <f>IF((RD[[#This Row],[33kV_OG1_Im]]-EC106)*1&lt;0,0,(RD[[#This Row],[33kV_OG1_Im]]-EC106)*1)</f>
        <v>3079.4880000001285</v>
      </c>
      <c r="EU107" s="140">
        <f>IF((RD[[#This Row],[132kV_TX1_EX]]-ED106)*720&lt;=0,"",(RD[[#This Row],[132kV_TX1_EX]]-ED106)*720)</f>
        <v>2880</v>
      </c>
      <c r="EV107" s="140">
        <f>IF((RD[[#This Row],[132 kV_Tx1_Im]]-EE106)*720&lt;=0,0,(RD[[#This Row],[132 kV_Tx1_Im]]-EE106)*720)</f>
        <v>177840</v>
      </c>
      <c r="EW107" s="140">
        <f>IF((RD[[#This Row],[132kV_L1_Ex]]-EF106)*720&lt;=0,0,(RD[[#This Row],[132kV_L1_Ex]]-EF106)*720)</f>
        <v>246600</v>
      </c>
      <c r="EX107" s="140">
        <f>IF((RD[[#This Row],[132kV_L1_Im]]-EG106)*720&lt;=0,0,(RD[[#This Row],[132kV_L1_Im]]-EG106)*720)</f>
        <v>3600</v>
      </c>
      <c r="EY107" s="316">
        <f>IFERROR(RD[[#This Row],[33kV_OG1_Ex (MWh)]]+RD[[#This Row],[33kV_OG1_Im (MWh)]],"")</f>
        <v>250493.48800000013</v>
      </c>
      <c r="EZ107" s="142">
        <f>RD[[#This Row],[33kV_OG1_Ex (MWh)]]-RD[[#This Row],[33kV_OG1_Im (MWh)]]</f>
        <v>244334.51199999987</v>
      </c>
      <c r="FA107" s="142">
        <f>IFERROR(RD[[#This Row],[132kV_L1_Ex(MWh)]]-RD[[#This Row],[132kV_L1_Im(MWh)]],"")</f>
        <v>243000</v>
      </c>
      <c r="FB107" s="318">
        <f>IFERROR(RD[[#This Row],[33kV_Ex(MWh)]]/RD[[#This Row],[Inv Total Gneration (MWh)]]-1,"")</f>
        <v>1.2882698664618442E-2</v>
      </c>
      <c r="FC107" s="319">
        <f>IFERROR((RD[[#This Row],[Sunset Time (POA&lt;20 W/m2)]]-RD[[#This Row],[Sunrise Time (POA&gt;20 W/m2)]])*24,0)</f>
        <v>11.75</v>
      </c>
      <c r="FD107" s="233">
        <v>128.08000000000001</v>
      </c>
      <c r="FE107" s="328" t="s">
        <v>1303</v>
      </c>
      <c r="FG107" s="138" t="str">
        <f>IFERROR(RD[[#This Row],[E_AC (WPR)]]/RD[[#This Row],[E_DC (WPR)]],"")</f>
        <v/>
      </c>
    </row>
    <row r="108" spans="1:163">
      <c r="A108" s="130">
        <f t="shared" si="167"/>
        <v>45848</v>
      </c>
      <c r="B108" s="132">
        <f>YEAR(RD[[#This Row],[Date]])+IF(MONTH(RD[[#This Row],[Date]])&gt;=4,1,0)</f>
        <v>2026</v>
      </c>
      <c r="C108" s="132">
        <f>YEAR(RD[[#This Row],[Date]])</f>
        <v>2025</v>
      </c>
      <c r="D108" s="133">
        <f t="shared" si="169"/>
        <v>45839</v>
      </c>
      <c r="E108" s="132">
        <f>DAY(EOMONTH(RD[[#This Row],[Date]],0))</f>
        <v>31</v>
      </c>
      <c r="F108" s="146">
        <v>0.28333333333333333</v>
      </c>
      <c r="G108" s="156">
        <v>0.77638888888888891</v>
      </c>
      <c r="H108" s="121">
        <v>3502.9</v>
      </c>
      <c r="I108" s="257">
        <v>3493.5</v>
      </c>
      <c r="J108" s="121">
        <v>3252.8</v>
      </c>
      <c r="K108" s="121">
        <v>3236.5</v>
      </c>
      <c r="L108" s="121">
        <v>3376.3</v>
      </c>
      <c r="M108" s="121">
        <v>3499.1</v>
      </c>
      <c r="N108" s="121">
        <v>3380.9</v>
      </c>
      <c r="O108" s="121">
        <v>3771.5</v>
      </c>
      <c r="P108" s="121">
        <v>3365.1</v>
      </c>
      <c r="Q108" s="121">
        <v>3363.1</v>
      </c>
      <c r="R108" s="121">
        <v>3405.1</v>
      </c>
      <c r="S108" s="255">
        <v>3471.7</v>
      </c>
      <c r="T108" s="121">
        <v>3534.7</v>
      </c>
      <c r="U108" s="121">
        <v>3394.4</v>
      </c>
      <c r="V108" s="121">
        <v>3528.8</v>
      </c>
      <c r="W108" s="121">
        <v>3392.2</v>
      </c>
      <c r="X108" s="283">
        <v>4805</v>
      </c>
      <c r="Y108" s="192">
        <v>5468.7</v>
      </c>
      <c r="Z108" s="192">
        <v>4690.1000000000004</v>
      </c>
      <c r="AA108" s="192">
        <v>4917.6000000000004</v>
      </c>
      <c r="AB108" s="283">
        <v>5137.7</v>
      </c>
      <c r="AC108" s="192">
        <v>3125.1</v>
      </c>
      <c r="AD108" s="192">
        <v>4815.8</v>
      </c>
      <c r="AE108" s="192">
        <v>4931.1000000000004</v>
      </c>
      <c r="AF108" s="283">
        <v>4806.6000000000004</v>
      </c>
      <c r="AG108" s="192">
        <v>4804</v>
      </c>
      <c r="AH108" s="192">
        <v>4790.8</v>
      </c>
      <c r="AI108" s="283">
        <v>4815.2</v>
      </c>
      <c r="AJ108" s="136">
        <v>3856.9</v>
      </c>
      <c r="AK108" s="136">
        <v>4013.6</v>
      </c>
      <c r="AL108" s="136">
        <v>3977.4</v>
      </c>
      <c r="AM108" s="136">
        <v>4018.2</v>
      </c>
      <c r="AN108" s="136">
        <v>3968.9</v>
      </c>
      <c r="AO108" s="136">
        <v>4128.3999999999996</v>
      </c>
      <c r="AP108" s="136">
        <v>4038.4</v>
      </c>
      <c r="AQ108" s="136">
        <v>3694.1</v>
      </c>
      <c r="AR108" s="136">
        <v>3186.3</v>
      </c>
      <c r="AS108" s="136">
        <v>3213.1</v>
      </c>
      <c r="AT108" s="136">
        <v>3224.3</v>
      </c>
      <c r="AU108" s="136">
        <v>3196.2</v>
      </c>
      <c r="AV108" s="136">
        <v>3270.4</v>
      </c>
      <c r="AW108" s="136">
        <v>3226.2</v>
      </c>
      <c r="AX108" s="136">
        <v>4568.3</v>
      </c>
      <c r="AY108" s="136">
        <v>5186.2</v>
      </c>
      <c r="AZ108" s="136">
        <v>3749.3</v>
      </c>
      <c r="BA108" s="136">
        <v>4624.6000000000004</v>
      </c>
      <c r="BB108" s="136">
        <v>4991</v>
      </c>
      <c r="BC108" s="136">
        <v>4748.6000000000004</v>
      </c>
      <c r="BD108" s="136">
        <v>4258.1000000000004</v>
      </c>
      <c r="BE108" s="136">
        <v>4683.3999999999996</v>
      </c>
      <c r="BF108" s="136">
        <v>5077.6000000000004</v>
      </c>
      <c r="BG108" s="136">
        <v>5203</v>
      </c>
      <c r="BH108" s="136">
        <v>5108.8999999999996</v>
      </c>
      <c r="BI108" s="136">
        <v>5187.3999999999996</v>
      </c>
      <c r="BJ108" s="136">
        <v>3349.5</v>
      </c>
      <c r="BK108" s="136">
        <v>2666.3</v>
      </c>
      <c r="BL108" s="136">
        <v>3230.4</v>
      </c>
      <c r="BM108" s="136">
        <v>3140</v>
      </c>
      <c r="BN108" s="136">
        <v>3577.2</v>
      </c>
      <c r="BO108" s="136">
        <v>3420.9</v>
      </c>
      <c r="BP108" s="136">
        <v>3765.3</v>
      </c>
      <c r="BQ108" s="136">
        <v>3685.2</v>
      </c>
      <c r="BR108" s="136">
        <v>3887</v>
      </c>
      <c r="BS108" s="136">
        <v>4025</v>
      </c>
      <c r="BT108" s="136">
        <v>3838</v>
      </c>
      <c r="BU108" s="136">
        <v>4197</v>
      </c>
      <c r="BV108" s="192">
        <v>3373.5</v>
      </c>
      <c r="BW108" s="192">
        <v>3113.2</v>
      </c>
      <c r="BX108" s="192">
        <v>2911.7</v>
      </c>
      <c r="BY108" s="192">
        <v>3317.2</v>
      </c>
      <c r="BZ108" s="136">
        <v>1455.7</v>
      </c>
      <c r="CA108" s="136">
        <v>390.8</v>
      </c>
      <c r="CB108" s="136">
        <v>3185.4</v>
      </c>
      <c r="CC108" s="136">
        <v>3474.8</v>
      </c>
      <c r="CD108" s="195">
        <v>2.2967634666666701</v>
      </c>
      <c r="CE108" s="59">
        <v>2.3522299499999986</v>
      </c>
      <c r="CF108" s="195">
        <v>2.1263149166666659</v>
      </c>
      <c r="CG108" s="195">
        <v>2.3378052333333308</v>
      </c>
      <c r="CH108" s="195">
        <v>0.27639426666666689</v>
      </c>
      <c r="CI108" s="195">
        <v>0.31532828333333307</v>
      </c>
      <c r="CJ108" s="59">
        <v>0.39723686666666691</v>
      </c>
      <c r="CK108" s="59">
        <v>0.31341363333333394</v>
      </c>
      <c r="CL108" s="195">
        <v>26.238896447467859</v>
      </c>
      <c r="CM108" s="195">
        <v>26.118941798941776</v>
      </c>
      <c r="CN108" s="195">
        <v>35.809195767195781</v>
      </c>
      <c r="CO108" s="195">
        <v>32.725187452758888</v>
      </c>
      <c r="CP108" s="195">
        <v>88.50474678760385</v>
      </c>
      <c r="CQ108" s="195">
        <v>88.339606953892599</v>
      </c>
      <c r="CR108" s="195">
        <v>0</v>
      </c>
      <c r="CS108" s="59">
        <v>0</v>
      </c>
      <c r="CT108" s="195">
        <v>0.70855782312925097</v>
      </c>
      <c r="CU108" s="195">
        <v>0.81297505668934211</v>
      </c>
      <c r="CV108" s="195">
        <v>1.8180000000000001</v>
      </c>
      <c r="CW108" s="247">
        <v>1.6919999999999999</v>
      </c>
      <c r="CX108" s="193">
        <f>IFERROR(AVERAGEIF(RD[[#This Row],[IS1POA1 (KWh/m2)]:[IS7POA2 (KWh/m2)]],"&lt;&gt;0",RD[[#This Row],[IS1POA1 (KWh/m2)]:[IS7POA2 (KWh/m2)]]),"")</f>
        <v>2.3244967083333341</v>
      </c>
      <c r="CY108" s="193">
        <f>IFERROR(AVERAGEIF(RD[[#This Row],[IS1GHI1 (KWh/m2)]:[IS7GHI2 (KWh/m2)]],"&lt;&gt;0",RD[[#This Row],[IS1GHI1 (KWh/m2)]:[IS7GHI2 (KWh/m2)]]),"")</f>
        <v>2.2320600749999984</v>
      </c>
      <c r="CZ108" s="193">
        <f>IFERROR(AVERAGEIF(RD[[#This Row],[IS1POA_BS1 (KWh/m2)]:[IS7POA_BS2 (KWh/m2)]],"&lt;&gt;0",RD[[#This Row],[IS1POA_BS1 (KWh/m2)]:[IS7POA_BS2 (KWh/m2)]]),"")</f>
        <v>0.29586127499999998</v>
      </c>
      <c r="DA108" s="193">
        <f>IFERROR(AVERAGEIF(RD[[#This Row],[IS1GHI_BS1 (KWh/m2)]:[IS1GHI_BS1 (KWh/m2)2]],"&lt;&gt;0",RD[[#This Row],[IS1GHI_BS1 (KWh/m2)]:[IS1GHI_BS1 (KWh/m2)2]]),"")</f>
        <v>0.35532525000000043</v>
      </c>
      <c r="DB108" s="193">
        <f>IFERROR(AVERAGEIF(RD[[#This Row],[IS1AT1 (°C)]:[IS7AT2 (°C)]],"&lt;&gt;0",RD[[#This Row],[IS1AT1 (°C)]:[IS7AT2 (°C)]]),"")</f>
        <v>26.178919123204818</v>
      </c>
      <c r="DC108" s="193">
        <f>IFERROR(AVERAGEIF(RD[[#This Row],[IS1MT1 (°C)]:[IS7MT2 (°C)]],"&lt;&gt;0",RD[[#This Row],[IS1MT1 (°C)]:[IS7MT2 (°C)]]),"")</f>
        <v>34.267191609977331</v>
      </c>
      <c r="DD108" s="193">
        <f>IFERROR(AVERAGEIF(RD[[#This Row],[IS1RH1 (%)]:[IS7RH2 (%)]],"&lt;&gt;0",RD[[#This Row],[IS1RH1 (%)]:[IS7RH2 (%)]]),"")</f>
        <v>88.422176870748217</v>
      </c>
      <c r="DE108" s="193" t="str">
        <f>IFERROR(AVERAGEIF(RD[[#This Row],[IS1Rain1 (mm)]:[IS7Rain2 (mm)]],"&lt;&gt;0",RD[[#This Row],[IS1Rain1 (mm)]:[IS7Rain2 (mm)]]),"")</f>
        <v/>
      </c>
      <c r="DF108" s="193">
        <f>IFERROR(AVERAGEIF(RD[[#This Row],[WS_Solar1_Avg (m/s)]:[IS7_WS_Solar1_Avg (m/s)]],"&lt;&gt;0",RD[[#This Row],[WS_Solar1_Avg (m/s)]:[IS7_WS_Solar1_Avg (m/s)]]),"")</f>
        <v>0.7607664399092966</v>
      </c>
      <c r="DG108" s="193">
        <f>IFERROR(AVERAGEIF(RD[[#This Row],[WS_Solar1_Max (m/s)]:[IS7_WS_Solar1_Max (m/s)]],"&lt;&gt;0",RD[[#This Row],[WS_Solar1_Max (m/s)]:[IS7_WS_Solar1_Max (m/s)]]),"")</f>
        <v>1.7549999999999999</v>
      </c>
      <c r="DH108" s="193">
        <f>SUM(RD[[#This Row],[IS1Inv1M1]:[IS4Inv4M2]])</f>
        <v>112076.30000000002</v>
      </c>
      <c r="DI108" s="194">
        <f>SUM(RD[[#This Row],[IS7Inv1M1]]+RD[[#This Row],[IS7Inv2M1]])</f>
        <v>6399.4</v>
      </c>
      <c r="DJ108" s="193">
        <f>SUM(RD[[#This Row],[IS5Inv1M1]:[IS5Inv2M2]])</f>
        <v>15866.099999999999</v>
      </c>
      <c r="DK108" s="193">
        <f>SUM(RD[[#This Row],[IS8Inv1M1]:[IS9Inv2M2]])</f>
        <v>31045.5</v>
      </c>
      <c r="DL108" s="60">
        <f>SUM(RD[[#This Row],[IS6Inv1M1]:[IS6Inv2M2]])</f>
        <v>15829.8</v>
      </c>
      <c r="DM108" s="275">
        <f>SUM(RD[[#This Row],[IS10Inv1M1]:[IS11Inv1M4]],RD[[#This Row],[IS14Inv1M1]:[IS14Inv2M4]])</f>
        <v>72866.5</v>
      </c>
      <c r="DN108" s="275">
        <f>SUM(RD[[#This Row],[IS12Inv1M1]:[IS12Inv1M4]])</f>
        <v>14448.600000000002</v>
      </c>
      <c r="DO108" s="275">
        <f>SUM(RD[[#This Row],[IS13Inv1M1]:[IS13Inv2M2]])</f>
        <v>15947</v>
      </c>
      <c r="DP108" s="193">
        <f>SUM(RD[[#This Row],[O2R15]:[O2R26]])</f>
        <v>284479.2</v>
      </c>
      <c r="DQ108" s="158">
        <v>45371.5</v>
      </c>
      <c r="DR108" s="162">
        <v>229.7</v>
      </c>
      <c r="DS108" s="158">
        <v>39673.5</v>
      </c>
      <c r="DT108" s="158">
        <v>241.4</v>
      </c>
      <c r="DU108" s="162">
        <v>46877.4</v>
      </c>
      <c r="DV108" s="162">
        <v>452.6</v>
      </c>
      <c r="DW108" s="158">
        <v>10805</v>
      </c>
      <c r="DX108" s="162">
        <v>57.4</v>
      </c>
      <c r="DY108" s="162">
        <v>4313.3</v>
      </c>
      <c r="DZ108" s="162">
        <v>23.7</v>
      </c>
      <c r="EA108" s="134">
        <v>108.72</v>
      </c>
      <c r="EB108" s="230">
        <v>151152410</v>
      </c>
      <c r="EC108" s="229">
        <v>1077154.6880000001</v>
      </c>
      <c r="ED108" s="230">
        <v>1292</v>
      </c>
      <c r="EE108" s="230">
        <v>145349</v>
      </c>
      <c r="EF108" s="158">
        <v>209562.8</v>
      </c>
      <c r="EG108" s="158">
        <v>2066.8000000000002</v>
      </c>
      <c r="EH108" s="140">
        <f>IF((RD[[#This Row],[33 kV_F3_Ex
Incomer1]]-DQ107)*1000&lt;0,0,(RD[[#This Row],[33 kV_F3_Ex
Incomer1]]-DQ107)*1000)</f>
        <v>56900.000000001455</v>
      </c>
      <c r="EI108" s="140">
        <f>IF((RD[[#This Row],[34 kV_F3_Im
Incomer1]]-DR107)*1000&lt;0,0,(RD[[#This Row],[34 kV_F3_Im
Incomer1]]-DR107)*1000)</f>
        <v>399.99999999997726</v>
      </c>
      <c r="EJ108" s="140">
        <f>IF((RD[[#This Row],[33 kV_F4_Ex
Incomer2]]-DS107)*1000&lt;0,0,(RD[[#This Row],[33 kV_F4_Ex
Incomer2]]-DS107)*1000)</f>
        <v>53300.00000000291</v>
      </c>
      <c r="EK108" s="140">
        <f>IF((RD[[#This Row],[34 kV_F4_Im
Incomer2]]-DT107)*1000&lt;0,0,(RD[[#This Row],[34 kV_F4_Im
Incomer2]]-DT107)*1000)</f>
        <v>300.00000000001137</v>
      </c>
      <c r="EL108" s="140">
        <f>IF((RD[[#This Row],[33 kV_F5_Ex
Incomer3]]-DU107)*1000&lt;0,0,(RD[[#This Row],[33 kV_F5_Ex
Incomer3]]-DU107)*1000)</f>
        <v>69099.999999998545</v>
      </c>
      <c r="EM108" s="140">
        <f>IF((RD[[#This Row],[34 kV_F5_Im
Incomer3]]-DV107)*1000&lt;0,0,(RD[[#This Row],[34 kV_F5_Im
Incomer3]]-DV107)*1000)</f>
        <v>1400.0000000000341</v>
      </c>
      <c r="EN108" s="140">
        <f>IF((RD[[#This Row],[33 kV_F6_Ex
Incomer4]]-DW107)*1000&lt;0,0,(RD[[#This Row],[33 kV_F6_Ex
Incomer4]]-DW107)*1000)</f>
        <v>21399.999999999636</v>
      </c>
      <c r="EO108" s="140">
        <f t="shared" si="166"/>
        <v>300.00000000001137</v>
      </c>
      <c r="EP108" s="140">
        <f>IF((RD[[#This Row],[33 kV_F7_Ex
Incomer5]]-DY107)*1000&lt;0,0,(RD[[#This Row],[33 kV_F7_Ex
Incomer5]]-DY107)*1000)</f>
        <v>66100.000000000364</v>
      </c>
      <c r="EQ108" s="140">
        <f>IF((RD[[#This Row],[33 kV_F7_Im
Incomer5]]-DZ107)*1000&lt;0,0,(RD[[#This Row],[33 kV_F7_Im
Incomer5]]-DZ107)*1000)</f>
        <v>699.99999999999932</v>
      </c>
      <c r="ER108" s="140">
        <f>IF((RD[[#This Row],[33 kV_Aux Trafo]]-EA107)*1000&lt;0,0,(RD[[#This Row],[33 kV_Aux Trafo]]-EA107)*1000)</f>
        <v>299.99999999999716</v>
      </c>
      <c r="ES108" s="152">
        <f>IF((RD[[#This Row],[33kV_OG1_Ex_]]-EB107)*1&lt;0,0,(RD[[#This Row],[33kV_OG1_Ex_]]-EB107)*1)</f>
        <v>284017</v>
      </c>
      <c r="ET108" s="140">
        <f>IF((RD[[#This Row],[33kV_OG1_Im]]-EC107)*1&lt;0,0,(RD[[#This Row],[33kV_OG1_Im]]-EC107)*1)</f>
        <v>3617.0879999999888</v>
      </c>
      <c r="EU108" s="140">
        <f>IF((RD[[#This Row],[132kV_TX1_EX]]-ED107)*720&lt;=0,"",(RD[[#This Row],[132kV_TX1_EX]]-ED107)*720)</f>
        <v>2880</v>
      </c>
      <c r="EV108" s="140">
        <f>IF((RD[[#This Row],[132 kV_Tx1_Im]]-EE107)*720&lt;=0,0,(RD[[#This Row],[132 kV_Tx1_Im]]-EE107)*720)</f>
        <v>203760</v>
      </c>
      <c r="EW108" s="140">
        <f>IF((RD[[#This Row],[132kV_L1_Ex]]-EF107)*720&lt;=0,0,(RD[[#This Row],[132kV_L1_Ex]]-EF107)*720)</f>
        <v>283175.99999999162</v>
      </c>
      <c r="EX108" s="140">
        <f>IF((RD[[#This Row],[132kV_L1_Im]]-EG107)*720&lt;=0,0,(RD[[#This Row],[132kV_L1_Im]]-EG107)*720)</f>
        <v>4176.000000000131</v>
      </c>
      <c r="EY108" s="316">
        <f>IFERROR(RD[[#This Row],[33kV_OG1_Ex (MWh)]]+RD[[#This Row],[33kV_OG1_Im (MWh)]],"")</f>
        <v>287634.08799999999</v>
      </c>
      <c r="EZ108" s="142">
        <f>RD[[#This Row],[33kV_OG1_Ex (MWh)]]-RD[[#This Row],[33kV_OG1_Im (MWh)]]</f>
        <v>280399.91200000001</v>
      </c>
      <c r="FA108" s="142">
        <f>IFERROR(RD[[#This Row],[132kV_L1_Ex(MWh)]]-RD[[#This Row],[132kV_L1_Im(MWh)]],"")</f>
        <v>278999.9999999915</v>
      </c>
      <c r="FB108" s="318">
        <f>IFERROR(RD[[#This Row],[33kV_Ex(MWh)]]/RD[[#This Row],[Inv Total Gneration (MWh)]]-1,"")</f>
        <v>1.1090048059752666E-2</v>
      </c>
      <c r="FC108" s="319">
        <f>IFERROR((RD[[#This Row],[Sunset Time (POA&lt;20 W/m2)]]-RD[[#This Row],[Sunrise Time (POA&gt;20 W/m2)]])*24,0)</f>
        <v>11.833333333333334</v>
      </c>
      <c r="FD108" s="233">
        <v>128.08000000000001</v>
      </c>
      <c r="FE108" s="329" t="s">
        <v>297</v>
      </c>
      <c r="FG108" s="138" t="str">
        <f>IFERROR(RD[[#This Row],[E_AC (WPR)]]/RD[[#This Row],[E_DC (WPR)]],"")</f>
        <v/>
      </c>
    </row>
    <row r="109" spans="1:163">
      <c r="A109" s="130">
        <f t="shared" si="167"/>
        <v>45849</v>
      </c>
      <c r="B109" s="132">
        <f>YEAR(RD[[#This Row],[Date]])+IF(MONTH(RD[[#This Row],[Date]])&gt;=4,1,0)</f>
        <v>2026</v>
      </c>
      <c r="C109" s="132">
        <f>YEAR(RD[[#This Row],[Date]])</f>
        <v>2025</v>
      </c>
      <c r="D109" s="133">
        <f t="shared" ref="D109:D112" si="170">A109-DAY(A109)+1</f>
        <v>45839</v>
      </c>
      <c r="E109" s="132">
        <f>DAY(EOMONTH(RD[[#This Row],[Date]],0))</f>
        <v>31</v>
      </c>
      <c r="F109" s="146">
        <v>0.25486111111111109</v>
      </c>
      <c r="G109" s="156">
        <v>0.78541666666666665</v>
      </c>
      <c r="H109" s="121">
        <v>7864.5</v>
      </c>
      <c r="I109" s="257">
        <v>7796.7</v>
      </c>
      <c r="J109" s="121">
        <v>7404.6</v>
      </c>
      <c r="K109" s="121">
        <v>7398.4</v>
      </c>
      <c r="L109" s="121">
        <v>7328.4</v>
      </c>
      <c r="M109" s="121">
        <v>7526.3</v>
      </c>
      <c r="N109" s="121">
        <v>7476.3</v>
      </c>
      <c r="O109" s="121">
        <v>8003.1</v>
      </c>
      <c r="P109" s="121">
        <v>7735.9</v>
      </c>
      <c r="Q109" s="121">
        <v>7588.1</v>
      </c>
      <c r="R109" s="121">
        <v>7698.9</v>
      </c>
      <c r="S109" s="255">
        <v>7843.7</v>
      </c>
      <c r="T109" s="121">
        <v>8080.9</v>
      </c>
      <c r="U109" s="121">
        <v>7732.6</v>
      </c>
      <c r="V109" s="121">
        <v>8008.1</v>
      </c>
      <c r="W109" s="121">
        <v>7782.8</v>
      </c>
      <c r="X109" s="283">
        <v>10837.1</v>
      </c>
      <c r="Y109" s="192">
        <v>11768.4</v>
      </c>
      <c r="Z109" s="192">
        <v>10554.7</v>
      </c>
      <c r="AA109" s="192">
        <v>10928.1</v>
      </c>
      <c r="AB109" s="283">
        <v>11371.4</v>
      </c>
      <c r="AC109" s="192">
        <v>7059.5</v>
      </c>
      <c r="AD109" s="192">
        <v>10597.4</v>
      </c>
      <c r="AE109" s="192">
        <v>10816.2</v>
      </c>
      <c r="AF109" s="283">
        <v>10707</v>
      </c>
      <c r="AG109" s="192">
        <v>10755</v>
      </c>
      <c r="AH109" s="192">
        <v>10577.2</v>
      </c>
      <c r="AI109" s="283">
        <v>10608.5</v>
      </c>
      <c r="AJ109" s="136">
        <v>8838.2999999999993</v>
      </c>
      <c r="AK109" s="136">
        <v>9104.2000000000007</v>
      </c>
      <c r="AL109" s="136">
        <v>9032</v>
      </c>
      <c r="AM109" s="136">
        <v>9067.2000000000007</v>
      </c>
      <c r="AN109" s="136">
        <v>9089.1</v>
      </c>
      <c r="AO109" s="136">
        <v>9420.2999999999993</v>
      </c>
      <c r="AP109" s="136">
        <v>9163.5</v>
      </c>
      <c r="AQ109" s="136">
        <v>8841.2999999999993</v>
      </c>
      <c r="AR109" s="136">
        <v>7332.7</v>
      </c>
      <c r="AS109" s="136">
        <v>7358.5</v>
      </c>
      <c r="AT109" s="136">
        <v>7406</v>
      </c>
      <c r="AU109" s="136">
        <v>7069</v>
      </c>
      <c r="AV109" s="136">
        <v>7462.3</v>
      </c>
      <c r="AW109" s="136">
        <v>7366.5</v>
      </c>
      <c r="AX109" s="136">
        <v>10529.9</v>
      </c>
      <c r="AY109" s="136">
        <v>11629.7</v>
      </c>
      <c r="AZ109" s="136">
        <v>8734</v>
      </c>
      <c r="BA109" s="136">
        <v>10474.1</v>
      </c>
      <c r="BB109" s="136">
        <v>8987.5</v>
      </c>
      <c r="BC109" s="136">
        <v>8690.5</v>
      </c>
      <c r="BD109" s="136">
        <v>8996.5</v>
      </c>
      <c r="BE109" s="136">
        <v>9823.4</v>
      </c>
      <c r="BF109" s="136">
        <v>10396.1</v>
      </c>
      <c r="BG109" s="136">
        <v>10467.5</v>
      </c>
      <c r="BH109" s="136">
        <v>10404.4</v>
      </c>
      <c r="BI109" s="136">
        <v>10585.9</v>
      </c>
      <c r="BJ109" s="136">
        <v>6952</v>
      </c>
      <c r="BK109" s="136">
        <v>5567</v>
      </c>
      <c r="BL109" s="136">
        <v>6602</v>
      </c>
      <c r="BM109" s="136">
        <v>6566</v>
      </c>
      <c r="BN109" s="136">
        <v>7252.3</v>
      </c>
      <c r="BO109" s="136">
        <v>6977.9</v>
      </c>
      <c r="BP109" s="136">
        <v>7499.8</v>
      </c>
      <c r="BQ109" s="136">
        <v>7459.2</v>
      </c>
      <c r="BR109" s="136">
        <v>7745</v>
      </c>
      <c r="BS109" s="136">
        <v>8020</v>
      </c>
      <c r="BT109" s="136">
        <v>7658</v>
      </c>
      <c r="BU109" s="136">
        <v>8387</v>
      </c>
      <c r="BV109" s="192">
        <v>7079.9</v>
      </c>
      <c r="BW109" s="192">
        <v>6527.1</v>
      </c>
      <c r="BX109" s="192">
        <v>6179.8</v>
      </c>
      <c r="BY109" s="192">
        <v>6993.9</v>
      </c>
      <c r="BZ109" s="136">
        <v>3179.6</v>
      </c>
      <c r="CA109" s="136">
        <v>962.5</v>
      </c>
      <c r="CB109" s="136">
        <v>6645.9</v>
      </c>
      <c r="CC109" s="136">
        <v>6998.5</v>
      </c>
      <c r="CD109" s="195">
        <v>5.5250780999999902</v>
      </c>
      <c r="CE109" s="59">
        <v>5.9108580166666593</v>
      </c>
      <c r="CF109" s="195">
        <v>5.4084949333333414</v>
      </c>
      <c r="CG109" s="195">
        <v>5.9889954333333337</v>
      </c>
      <c r="CH109" s="195">
        <v>0.7045649166666671</v>
      </c>
      <c r="CI109" s="195">
        <v>0.8212636333333343</v>
      </c>
      <c r="CJ109" s="59">
        <v>1.0422866500000012</v>
      </c>
      <c r="CK109" s="59">
        <v>0.85114939999999861</v>
      </c>
      <c r="CL109" s="195">
        <v>27.888654970760236</v>
      </c>
      <c r="CM109" s="195">
        <v>27.806683375104452</v>
      </c>
      <c r="CN109" s="195">
        <v>42.324035087719373</v>
      </c>
      <c r="CO109" s="195">
        <v>38.666757727652431</v>
      </c>
      <c r="CP109" s="195">
        <v>81.687502088554567</v>
      </c>
      <c r="CQ109" s="195">
        <v>81.816457811194709</v>
      </c>
      <c r="CR109" s="195">
        <v>0</v>
      </c>
      <c r="CS109" s="59">
        <v>0</v>
      </c>
      <c r="CT109" s="195">
        <v>1.0691428571428563</v>
      </c>
      <c r="CU109" s="195">
        <v>1.1503834586466166</v>
      </c>
      <c r="CV109" s="195">
        <v>3.573</v>
      </c>
      <c r="CW109" s="247">
        <v>2.484</v>
      </c>
      <c r="CX109" s="193">
        <f>IFERROR(AVERAGEIF(RD[[#This Row],[IS1POA1 (KWh/m2)]:[IS7POA2 (KWh/m2)]],"&lt;&gt;0",RD[[#This Row],[IS1POA1 (KWh/m2)]:[IS7POA2 (KWh/m2)]]),"")</f>
        <v>5.7179680583333248</v>
      </c>
      <c r="CY109" s="193">
        <f>IFERROR(AVERAGEIF(RD[[#This Row],[IS1GHI1 (KWh/m2)]:[IS7GHI2 (KWh/m2)]],"&lt;&gt;0",RD[[#This Row],[IS1GHI1 (KWh/m2)]:[IS7GHI2 (KWh/m2)]]),"")</f>
        <v>5.6987451833333376</v>
      </c>
      <c r="CZ109" s="193">
        <f>IFERROR(AVERAGEIF(RD[[#This Row],[IS1POA_BS1 (KWh/m2)]:[IS7POA_BS2 (KWh/m2)]],"&lt;&gt;0",RD[[#This Row],[IS1POA_BS1 (KWh/m2)]:[IS7POA_BS2 (KWh/m2)]]),"")</f>
        <v>0.76291427500000064</v>
      </c>
      <c r="DA109" s="193">
        <f>IFERROR(AVERAGEIF(RD[[#This Row],[IS1GHI_BS1 (KWh/m2)]:[IS1GHI_BS1 (KWh/m2)2]],"&lt;&gt;0",RD[[#This Row],[IS1GHI_BS1 (KWh/m2)]:[IS1GHI_BS1 (KWh/m2)2]]),"")</f>
        <v>0.94671802499999991</v>
      </c>
      <c r="DB109" s="193">
        <f>IFERROR(AVERAGEIF(RD[[#This Row],[IS1AT1 (°C)]:[IS7AT2 (°C)]],"&lt;&gt;0",RD[[#This Row],[IS1AT1 (°C)]:[IS7AT2 (°C)]]),"")</f>
        <v>27.847669172932342</v>
      </c>
      <c r="DC109" s="193">
        <f>IFERROR(AVERAGEIF(RD[[#This Row],[IS1MT1 (°C)]:[IS7MT2 (°C)]],"&lt;&gt;0",RD[[#This Row],[IS1MT1 (°C)]:[IS7MT2 (°C)]]),"")</f>
        <v>40.495396407685902</v>
      </c>
      <c r="DD109" s="193">
        <f>IFERROR(AVERAGEIF(RD[[#This Row],[IS1RH1 (%)]:[IS7RH2 (%)]],"&lt;&gt;0",RD[[#This Row],[IS1RH1 (%)]:[IS7RH2 (%)]]),"")</f>
        <v>81.751979949874638</v>
      </c>
      <c r="DE109" s="193" t="str">
        <f>IFERROR(AVERAGEIF(RD[[#This Row],[IS1Rain1 (mm)]:[IS7Rain2 (mm)]],"&lt;&gt;0",RD[[#This Row],[IS1Rain1 (mm)]:[IS7Rain2 (mm)]]),"")</f>
        <v/>
      </c>
      <c r="DF109" s="193">
        <f>IFERROR(AVERAGEIF(RD[[#This Row],[WS_Solar1_Avg (m/s)]:[IS7_WS_Solar1_Avg (m/s)]],"&lt;&gt;0",RD[[#This Row],[WS_Solar1_Avg (m/s)]:[IS7_WS_Solar1_Avg (m/s)]]),"")</f>
        <v>1.1097631578947365</v>
      </c>
      <c r="DG109" s="193">
        <f>IFERROR(AVERAGEIF(RD[[#This Row],[WS_Solar1_Max (m/s)]:[IS7_WS_Solar1_Max (m/s)]],"&lt;&gt;0",RD[[#This Row],[WS_Solar1_Max (m/s)]:[IS7_WS_Solar1_Max (m/s)]]),"")</f>
        <v>3.0285000000000002</v>
      </c>
      <c r="DH109" s="193">
        <f>SUM(RD[[#This Row],[IS1Inv1M1]:[IS4Inv4M2]])</f>
        <v>249849.80000000005</v>
      </c>
      <c r="DI109" s="194">
        <f>SUM(RD[[#This Row],[IS7Inv1M1]]+RD[[#This Row],[IS7Inv2M1]])</f>
        <v>14691.2</v>
      </c>
      <c r="DJ109" s="193">
        <f>SUM(RD[[#This Row],[IS5Inv1M1]:[IS5Inv2M2]])</f>
        <v>36041.699999999997</v>
      </c>
      <c r="DK109" s="193">
        <f>SUM(RD[[#This Row],[IS8Inv1M1]:[IS9Inv2M2]])</f>
        <v>70671.5</v>
      </c>
      <c r="DL109" s="60">
        <f>SUM(RD[[#This Row],[IS6Inv1M1]:[IS6Inv2M2]])</f>
        <v>36514.199999999997</v>
      </c>
      <c r="DM109" s="275">
        <f>SUM(RD[[#This Row],[IS10Inv1M1]:[IS11Inv1M4]],RD[[#This Row],[IS14Inv1M1]:[IS14Inv2M4]])</f>
        <v>148605.99999999997</v>
      </c>
      <c r="DN109" s="275">
        <f>SUM(RD[[#This Row],[IS12Inv1M1]:[IS12Inv1M4]])</f>
        <v>29189.200000000001</v>
      </c>
      <c r="DO109" s="275">
        <f>SUM(RD[[#This Row],[IS13Inv1M1]:[IS13Inv2M2]])</f>
        <v>31810</v>
      </c>
      <c r="DP109" s="193">
        <f>SUM(RD[[#This Row],[O2R15]:[O2R26]])</f>
        <v>617373.6</v>
      </c>
      <c r="DQ109" s="158">
        <v>45497.2</v>
      </c>
      <c r="DR109" s="162">
        <v>229.8</v>
      </c>
      <c r="DS109" s="158">
        <v>39788.1</v>
      </c>
      <c r="DT109" s="158">
        <v>241.7</v>
      </c>
      <c r="DU109" s="162">
        <v>47033.4</v>
      </c>
      <c r="DV109" s="162">
        <v>453.7</v>
      </c>
      <c r="DW109" s="158">
        <v>10848.8</v>
      </c>
      <c r="DX109" s="162">
        <v>57.6</v>
      </c>
      <c r="DY109" s="162">
        <v>4444.6000000000004</v>
      </c>
      <c r="DZ109" s="162">
        <v>24.2</v>
      </c>
      <c r="EA109" s="134">
        <v>109.01</v>
      </c>
      <c r="EB109" s="230">
        <v>151760994</v>
      </c>
      <c r="EC109" s="229">
        <v>1079802.24</v>
      </c>
      <c r="ED109" s="230">
        <v>1295</v>
      </c>
      <c r="EE109" s="230">
        <v>145955</v>
      </c>
      <c r="EF109" s="158">
        <v>210405.3</v>
      </c>
      <c r="EG109" s="158">
        <v>2071</v>
      </c>
      <c r="EH109" s="140">
        <f>IF((RD[[#This Row],[33 kV_F3_Ex
Incomer1]]-DQ108)*1000&lt;0,0,(RD[[#This Row],[33 kV_F3_Ex
Incomer1]]-DQ108)*1000)</f>
        <v>125699.99999999709</v>
      </c>
      <c r="EI109" s="140">
        <f>IF((RD[[#This Row],[34 kV_F3_Im
Incomer1]]-DR108)*1000&lt;0,0,(RD[[#This Row],[34 kV_F3_Im
Incomer1]]-DR108)*1000)</f>
        <v>100.00000000002274</v>
      </c>
      <c r="EJ109" s="140">
        <f>IF((RD[[#This Row],[33 kV_F4_Ex
Incomer2]]-DS108)*1000&lt;0,0,(RD[[#This Row],[33 kV_F4_Ex
Incomer2]]-DS108)*1000)</f>
        <v>114599.99999999854</v>
      </c>
      <c r="EK109" s="140">
        <f>IF((RD[[#This Row],[34 kV_F4_Im
Incomer2]]-DT108)*1000&lt;0,0,(RD[[#This Row],[34 kV_F4_Im
Incomer2]]-DT108)*1000)</f>
        <v>299.99999999998295</v>
      </c>
      <c r="EL109" s="140">
        <f>IF((RD[[#This Row],[33 kV_F5_Ex
Incomer3]]-DU108)*1000&lt;0,0,(RD[[#This Row],[33 kV_F5_Ex
Incomer3]]-DU108)*1000)</f>
        <v>156000</v>
      </c>
      <c r="EM109" s="140">
        <f>IF((RD[[#This Row],[34 kV_F5_Im
Incomer3]]-DV108)*1000&lt;0,0,(RD[[#This Row],[34 kV_F5_Im
Incomer3]]-DV108)*1000)</f>
        <v>1099.9999999999659</v>
      </c>
      <c r="EN109" s="140">
        <f>IF((RD[[#This Row],[33 kV_F6_Ex
Incomer4]]-DW108)*1000&lt;0,0,(RD[[#This Row],[33 kV_F6_Ex
Incomer4]]-DW108)*1000)</f>
        <v>43799.999999999272</v>
      </c>
      <c r="EO109" s="140">
        <f t="shared" si="166"/>
        <v>299.99999999998295</v>
      </c>
      <c r="EP109" s="140">
        <f>IF((RD[[#This Row],[33 kV_F7_Ex
Incomer5]]-DY108)*1000&lt;0,0,(RD[[#This Row],[33 kV_F7_Ex
Incomer5]]-DY108)*1000)</f>
        <v>131300.00000000017</v>
      </c>
      <c r="EQ109" s="140">
        <f>IF((RD[[#This Row],[33 kV_F7_Im
Incomer5]]-DZ108)*1000&lt;0,0,(RD[[#This Row],[33 kV_F7_Im
Incomer5]]-DZ108)*1000)</f>
        <v>500</v>
      </c>
      <c r="ER109" s="140">
        <f>IF((RD[[#This Row],[33 kV_Aux Trafo]]-EA108)*1000&lt;0,0,(RD[[#This Row],[33 kV_Aux Trafo]]-EA108)*1000)</f>
        <v>290.00000000000625</v>
      </c>
      <c r="ES109" s="152">
        <f>IF((RD[[#This Row],[33kV_OG1_Ex_]]-EB108)*1&lt;0,0,(RD[[#This Row],[33kV_OG1_Ex_]]-EB108)*1)</f>
        <v>608584</v>
      </c>
      <c r="ET109" s="140">
        <f>IF((RD[[#This Row],[33kV_OG1_Im]]-EC108)*1&lt;0,0,(RD[[#This Row],[33kV_OG1_Im]]-EC108)*1)</f>
        <v>2647.5519999999087</v>
      </c>
      <c r="EU109" s="140">
        <f>IF((RD[[#This Row],[132kV_TX1_EX]]-ED108)*720&lt;=0,"",(RD[[#This Row],[132kV_TX1_EX]]-ED108)*720)</f>
        <v>2160</v>
      </c>
      <c r="EV109" s="140">
        <f>IF((RD[[#This Row],[132 kV_Tx1_Im]]-EE108)*720&lt;=0,0,(RD[[#This Row],[132 kV_Tx1_Im]]-EE108)*720)</f>
        <v>436320</v>
      </c>
      <c r="EW109" s="140">
        <f>IF((RD[[#This Row],[132kV_L1_Ex]]-EF108)*720&lt;=0,0,(RD[[#This Row],[132kV_L1_Ex]]-EF108)*720)</f>
        <v>606600</v>
      </c>
      <c r="EX109" s="140">
        <f>IF((RD[[#This Row],[132kV_L1_Im]]-EG108)*720&lt;=0,0,(RD[[#This Row],[132kV_L1_Im]]-EG108)*720)</f>
        <v>3023.999999999869</v>
      </c>
      <c r="EY109" s="316">
        <f>IFERROR(RD[[#This Row],[33kV_OG1_Ex (MWh)]]+RD[[#This Row],[33kV_OG1_Im (MWh)]],"")</f>
        <v>611231.55199999991</v>
      </c>
      <c r="EZ109" s="142">
        <f>RD[[#This Row],[33kV_OG1_Ex (MWh)]]-RD[[#This Row],[33kV_OG1_Im (MWh)]]</f>
        <v>605936.44800000009</v>
      </c>
      <c r="FA109" s="142">
        <f>IFERROR(RD[[#This Row],[132kV_L1_Ex(MWh)]]-RD[[#This Row],[132kV_L1_Im(MWh)]],"")</f>
        <v>603576.00000000012</v>
      </c>
      <c r="FB109" s="318">
        <f>IFERROR(RD[[#This Row],[33kV_Ex(MWh)]]/RD[[#This Row],[Inv Total Gneration (MWh)]]-1,"")</f>
        <v>-9.9486728943383174E-3</v>
      </c>
      <c r="FC109" s="319">
        <f>IFERROR((RD[[#This Row],[Sunset Time (POA&lt;20 W/m2)]]-RD[[#This Row],[Sunrise Time (POA&gt;20 W/m2)]])*24,0)</f>
        <v>12.733333333333334</v>
      </c>
      <c r="FD109" s="233">
        <v>128.08000000000001</v>
      </c>
      <c r="FE109" t="s">
        <v>1309</v>
      </c>
      <c r="FG109" s="138" t="str">
        <f>IFERROR(RD[[#This Row],[E_AC (WPR)]]/RD[[#This Row],[E_DC (WPR)]],"")</f>
        <v/>
      </c>
    </row>
    <row r="110" spans="1:163">
      <c r="A110" s="130">
        <f t="shared" si="167"/>
        <v>45850</v>
      </c>
      <c r="B110" s="132">
        <f>YEAR(RD[[#This Row],[Date]])+IF(MONTH(RD[[#This Row],[Date]])&gt;=4,1,0)</f>
        <v>2026</v>
      </c>
      <c r="C110" s="132">
        <f>YEAR(RD[[#This Row],[Date]])</f>
        <v>2025</v>
      </c>
      <c r="D110" s="133">
        <f t="shared" si="170"/>
        <v>45839</v>
      </c>
      <c r="E110" s="132">
        <f>DAY(EOMONTH(RD[[#This Row],[Date]],0))</f>
        <v>31</v>
      </c>
      <c r="F110" s="146">
        <v>0.25486111111111109</v>
      </c>
      <c r="G110" s="156">
        <v>0.78333333333333333</v>
      </c>
      <c r="H110" s="121">
        <v>5889</v>
      </c>
      <c r="I110" s="257">
        <v>5891.1</v>
      </c>
      <c r="J110" s="121">
        <v>5524.9</v>
      </c>
      <c r="K110" s="121">
        <v>5560.6</v>
      </c>
      <c r="L110" s="121">
        <v>5718.8</v>
      </c>
      <c r="M110" s="121">
        <v>5871.1</v>
      </c>
      <c r="N110" s="121">
        <v>5708.7</v>
      </c>
      <c r="O110" s="121">
        <v>6287.5</v>
      </c>
      <c r="P110" s="121">
        <v>5718.9</v>
      </c>
      <c r="Q110" s="121">
        <v>5719.2</v>
      </c>
      <c r="R110" s="121">
        <v>5797.1</v>
      </c>
      <c r="S110" s="255">
        <v>5891.1</v>
      </c>
      <c r="T110" s="121">
        <v>5989.1</v>
      </c>
      <c r="U110" s="121">
        <v>5804.9</v>
      </c>
      <c r="V110" s="121">
        <v>6005.1</v>
      </c>
      <c r="W110" s="121">
        <v>5783.8</v>
      </c>
      <c r="X110" s="283">
        <v>8071.2</v>
      </c>
      <c r="Y110" s="192">
        <v>9103.9</v>
      </c>
      <c r="Z110" s="192">
        <v>7869.8</v>
      </c>
      <c r="AA110" s="192">
        <v>8224.9</v>
      </c>
      <c r="AB110" s="283">
        <v>8751.2999999999993</v>
      </c>
      <c r="AC110" s="192">
        <v>5529.9</v>
      </c>
      <c r="AD110" s="192">
        <v>8313.5</v>
      </c>
      <c r="AE110" s="192">
        <v>8521</v>
      </c>
      <c r="AF110" s="283">
        <v>8242.5</v>
      </c>
      <c r="AG110" s="192">
        <v>8144</v>
      </c>
      <c r="AH110" s="192">
        <v>8263.1</v>
      </c>
      <c r="AI110" s="283">
        <v>8319.4</v>
      </c>
      <c r="AJ110" s="136">
        <v>6992.3</v>
      </c>
      <c r="AK110" s="136">
        <v>7206</v>
      </c>
      <c r="AL110" s="136">
        <v>7178.6</v>
      </c>
      <c r="AM110" s="136">
        <v>7237.3</v>
      </c>
      <c r="AN110" s="136">
        <v>7157.8</v>
      </c>
      <c r="AO110" s="136">
        <v>7417.7</v>
      </c>
      <c r="AP110" s="136">
        <v>7257.3</v>
      </c>
      <c r="AQ110" s="136">
        <v>7164.4</v>
      </c>
      <c r="AR110" s="136">
        <v>5773.7</v>
      </c>
      <c r="AS110" s="136">
        <v>5811.6</v>
      </c>
      <c r="AT110" s="136">
        <v>5862.8</v>
      </c>
      <c r="AU110" s="136">
        <v>5571.8</v>
      </c>
      <c r="AV110" s="136">
        <v>5926.5</v>
      </c>
      <c r="AW110" s="136">
        <v>5839.6</v>
      </c>
      <c r="AX110" s="136">
        <v>8141.9</v>
      </c>
      <c r="AY110" s="136">
        <v>9119.6</v>
      </c>
      <c r="AZ110" s="136">
        <v>6746</v>
      </c>
      <c r="BA110" s="136">
        <v>8216.2999999999993</v>
      </c>
      <c r="BB110" s="136">
        <v>8062</v>
      </c>
      <c r="BC110" s="136">
        <v>7760</v>
      </c>
      <c r="BD110" s="136">
        <v>7324</v>
      </c>
      <c r="BE110" s="136">
        <v>8076</v>
      </c>
      <c r="BF110" s="136">
        <v>8586</v>
      </c>
      <c r="BG110" s="136">
        <v>8786</v>
      </c>
      <c r="BH110" s="136">
        <v>8927</v>
      </c>
      <c r="BI110" s="136">
        <v>9033</v>
      </c>
      <c r="BJ110" s="136">
        <v>5972</v>
      </c>
      <c r="BK110" s="136">
        <v>4765</v>
      </c>
      <c r="BL110" s="136">
        <v>5796</v>
      </c>
      <c r="BM110" s="136">
        <v>5747</v>
      </c>
      <c r="BN110" s="136">
        <v>6365</v>
      </c>
      <c r="BO110" s="136">
        <v>6123</v>
      </c>
      <c r="BP110" s="136">
        <v>6672</v>
      </c>
      <c r="BQ110" s="136">
        <v>6532</v>
      </c>
      <c r="BR110" s="136">
        <v>6909</v>
      </c>
      <c r="BS110" s="136">
        <v>7163</v>
      </c>
      <c r="BT110" s="136">
        <v>6623</v>
      </c>
      <c r="BU110" s="136">
        <v>7453</v>
      </c>
      <c r="BV110" s="192">
        <v>6160</v>
      </c>
      <c r="BW110" s="192">
        <v>5653</v>
      </c>
      <c r="BX110" s="192">
        <v>5254</v>
      </c>
      <c r="BY110" s="192">
        <v>5848</v>
      </c>
      <c r="BZ110" s="136">
        <v>2727</v>
      </c>
      <c r="CA110" s="136">
        <v>808</v>
      </c>
      <c r="CB110" s="136">
        <v>5831</v>
      </c>
      <c r="CC110" s="136">
        <v>6279</v>
      </c>
      <c r="CD110" s="195">
        <v>3.9810886666666701</v>
      </c>
      <c r="CE110" s="59">
        <v>4.5068170166666777</v>
      </c>
      <c r="CF110" s="195">
        <v>3.8029342833333368</v>
      </c>
      <c r="CG110" s="195">
        <v>4.5644449500000004</v>
      </c>
      <c r="CH110" s="195">
        <v>0.51341783333333246</v>
      </c>
      <c r="CI110" s="195">
        <v>0.65675396666666686</v>
      </c>
      <c r="CJ110" s="59">
        <v>0.76454719999999987</v>
      </c>
      <c r="CK110" s="59">
        <v>0.66159460000000037</v>
      </c>
      <c r="CL110" s="195">
        <v>27.742296730930473</v>
      </c>
      <c r="CM110" s="195">
        <v>27.82573344509645</v>
      </c>
      <c r="CN110" s="195">
        <v>39.67335456831524</v>
      </c>
      <c r="CO110" s="195">
        <v>36.948031014249814</v>
      </c>
      <c r="CP110" s="195">
        <v>77.944073763621304</v>
      </c>
      <c r="CQ110" s="195">
        <v>78.004610226320196</v>
      </c>
      <c r="CR110" s="195">
        <v>0</v>
      </c>
      <c r="CS110" s="59">
        <v>0</v>
      </c>
      <c r="CT110" s="195">
        <v>1.4120997485331073</v>
      </c>
      <c r="CU110" s="195">
        <v>1.5403000838222969</v>
      </c>
      <c r="CV110" s="195">
        <v>2.9910000000000001</v>
      </c>
      <c r="CW110" s="247">
        <v>2.9609999999999999</v>
      </c>
      <c r="CX110" s="193">
        <f>IFERROR(AVERAGEIF(RD[[#This Row],[IS1POA1 (KWh/m2)]:[IS7POA2 (KWh/m2)]],"&lt;&gt;0",RD[[#This Row],[IS1POA1 (KWh/m2)]:[IS7POA2 (KWh/m2)]]),"")</f>
        <v>4.2439528416666743</v>
      </c>
      <c r="CY110" s="193">
        <f>IFERROR(AVERAGEIF(RD[[#This Row],[IS1GHI1 (KWh/m2)]:[IS7GHI2 (KWh/m2)]],"&lt;&gt;0",RD[[#This Row],[IS1GHI1 (KWh/m2)]:[IS7GHI2 (KWh/m2)]]),"")</f>
        <v>4.1836896166666691</v>
      </c>
      <c r="CZ110" s="193">
        <f>IFERROR(AVERAGEIF(RD[[#This Row],[IS1POA_BS1 (KWh/m2)]:[IS7POA_BS2 (KWh/m2)]],"&lt;&gt;0",RD[[#This Row],[IS1POA_BS1 (KWh/m2)]:[IS7POA_BS2 (KWh/m2)]]),"")</f>
        <v>0.58508589999999971</v>
      </c>
      <c r="DA110" s="193">
        <f>IFERROR(AVERAGEIF(RD[[#This Row],[IS1GHI_BS1 (KWh/m2)]:[IS1GHI_BS1 (KWh/m2)2]],"&lt;&gt;0",RD[[#This Row],[IS1GHI_BS1 (KWh/m2)]:[IS1GHI_BS1 (KWh/m2)2]]),"")</f>
        <v>0.71307090000000017</v>
      </c>
      <c r="DB110" s="193">
        <f>IFERROR(AVERAGEIF(RD[[#This Row],[IS1AT1 (°C)]:[IS7AT2 (°C)]],"&lt;&gt;0",RD[[#This Row],[IS1AT1 (°C)]:[IS7AT2 (°C)]]),"")</f>
        <v>27.784015088013462</v>
      </c>
      <c r="DC110" s="193">
        <f>IFERROR(AVERAGEIF(RD[[#This Row],[IS1MT1 (°C)]:[IS7MT2 (°C)]],"&lt;&gt;0",RD[[#This Row],[IS1MT1 (°C)]:[IS7MT2 (°C)]]),"")</f>
        <v>38.310692791282527</v>
      </c>
      <c r="DD110" s="193">
        <f>IFERROR(AVERAGEIF(RD[[#This Row],[IS1RH1 (%)]:[IS7RH2 (%)]],"&lt;&gt;0",RD[[#This Row],[IS1RH1 (%)]:[IS7RH2 (%)]]),"")</f>
        <v>77.974341994970757</v>
      </c>
      <c r="DE110" s="193" t="str">
        <f>IFERROR(AVERAGEIF(RD[[#This Row],[IS1Rain1 (mm)]:[IS7Rain2 (mm)]],"&lt;&gt;0",RD[[#This Row],[IS1Rain1 (mm)]:[IS7Rain2 (mm)]]),"")</f>
        <v/>
      </c>
      <c r="DF110" s="193">
        <f>IFERROR(AVERAGEIF(RD[[#This Row],[WS_Solar1_Avg (m/s)]:[IS7_WS_Solar1_Avg (m/s)]],"&lt;&gt;0",RD[[#This Row],[WS_Solar1_Avg (m/s)]:[IS7_WS_Solar1_Avg (m/s)]]),"")</f>
        <v>1.476199916177702</v>
      </c>
      <c r="DG110" s="193">
        <f>IFERROR(AVERAGEIF(RD[[#This Row],[WS_Solar1_Max (m/s)]:[IS7_WS_Solar1_Max (m/s)]],"&lt;&gt;0",RD[[#This Row],[WS_Solar1_Max (m/s)]:[IS7_WS_Solar1_Max (m/s)]]),"")</f>
        <v>2.976</v>
      </c>
      <c r="DH110" s="193">
        <f>SUM(RD[[#This Row],[IS1Inv1M1]:[IS4Inv4M2]])</f>
        <v>190515.4</v>
      </c>
      <c r="DI110" s="194">
        <f>SUM(RD[[#This Row],[IS7Inv1M1]]+RD[[#This Row],[IS7Inv2M1]])</f>
        <v>11585.3</v>
      </c>
      <c r="DJ110" s="193">
        <f>SUM(RD[[#This Row],[IS5Inv1M1]:[IS5Inv2M2]])</f>
        <v>28614.2</v>
      </c>
      <c r="DK110" s="193">
        <f>SUM(RD[[#This Row],[IS8Inv1M1]:[IS9Inv2M2]])</f>
        <v>55424.5</v>
      </c>
      <c r="DL110" s="60">
        <f>SUM(RD[[#This Row],[IS6Inv1M1]:[IS6Inv2M2]])</f>
        <v>28997.199999999997</v>
      </c>
      <c r="DM110" s="275">
        <f>SUM(RD[[#This Row],[IS10Inv1M1]:[IS11Inv1M4]],RD[[#This Row],[IS14Inv1M1]:[IS14Inv2M4]])</f>
        <v>127394</v>
      </c>
      <c r="DN110" s="275">
        <f>SUM(RD[[#This Row],[IS12Inv1M1]:[IS12Inv1M4]])</f>
        <v>25692</v>
      </c>
      <c r="DO110" s="275">
        <f>SUM(RD[[#This Row],[IS13Inv1M1]:[IS13Inv2M2]])</f>
        <v>28148</v>
      </c>
      <c r="DP110" s="193">
        <f>SUM(RD[[#This Row],[O2R15]:[O2R26]])</f>
        <v>496370.60000000003</v>
      </c>
      <c r="DQ110" s="158">
        <v>45594.1</v>
      </c>
      <c r="DR110" s="162">
        <v>230.1</v>
      </c>
      <c r="DS110" s="158">
        <v>39876</v>
      </c>
      <c r="DT110" s="158">
        <v>242</v>
      </c>
      <c r="DU110" s="162">
        <v>47156.9</v>
      </c>
      <c r="DV110" s="162">
        <v>454.9</v>
      </c>
      <c r="DW110" s="158">
        <v>10886.9</v>
      </c>
      <c r="DX110" s="162">
        <v>57.7</v>
      </c>
      <c r="DY110" s="162">
        <v>4557.7</v>
      </c>
      <c r="DZ110" s="162">
        <v>24.5</v>
      </c>
      <c r="EA110" s="134">
        <v>109.29</v>
      </c>
      <c r="EB110" s="230">
        <v>152251875</v>
      </c>
      <c r="EC110" s="229">
        <v>1082370.5600000001</v>
      </c>
      <c r="ED110" s="230">
        <v>1298</v>
      </c>
      <c r="EE110" s="230">
        <v>146444</v>
      </c>
      <c r="EF110" s="158">
        <v>211085</v>
      </c>
      <c r="EG110" s="158">
        <v>2075.1</v>
      </c>
      <c r="EH110" s="140">
        <f>IF((RD[[#This Row],[33 kV_F3_Ex
Incomer1]]-DQ109)*1000&lt;0,0,(RD[[#This Row],[33 kV_F3_Ex
Incomer1]]-DQ109)*1000)</f>
        <v>96900.000000001455</v>
      </c>
      <c r="EI110" s="140">
        <f>IF((RD[[#This Row],[34 kV_F3_Im
Incomer1]]-DR109)*1000&lt;0,0,(RD[[#This Row],[34 kV_F3_Im
Incomer1]]-DR109)*1000)</f>
        <v>299.99999999998295</v>
      </c>
      <c r="EJ110" s="140">
        <f>IF((RD[[#This Row],[33 kV_F4_Ex
Incomer2]]-DS109)*1000&lt;0,0,(RD[[#This Row],[33 kV_F4_Ex
Incomer2]]-DS109)*1000)</f>
        <v>87900.000000001455</v>
      </c>
      <c r="EK110" s="140">
        <f>IF((RD[[#This Row],[34 kV_F4_Im
Incomer2]]-DT109)*1000&lt;0,0,(RD[[#This Row],[34 kV_F4_Im
Incomer2]]-DT109)*1000)</f>
        <v>300.00000000001137</v>
      </c>
      <c r="EL110" s="140">
        <f>IF((RD[[#This Row],[33 kV_F5_Ex
Incomer3]]-DU109)*1000&lt;0,0,(RD[[#This Row],[33 kV_F5_Ex
Incomer3]]-DU109)*1000)</f>
        <v>123500</v>
      </c>
      <c r="EM110" s="140">
        <f>IF((RD[[#This Row],[34 kV_F5_Im
Incomer3]]-DV109)*1000&lt;0,0,(RD[[#This Row],[34 kV_F5_Im
Incomer3]]-DV109)*1000)</f>
        <v>1199.9999999999886</v>
      </c>
      <c r="EN110" s="140">
        <f>IF((RD[[#This Row],[33 kV_F6_Ex
Incomer4]]-DW109)*1000&lt;0,0,(RD[[#This Row],[33 kV_F6_Ex
Incomer4]]-DW109)*1000)</f>
        <v>38100.000000000364</v>
      </c>
      <c r="EO110" s="140">
        <f t="shared" si="166"/>
        <v>400.00000000000568</v>
      </c>
      <c r="EP110" s="140">
        <f>IF((RD[[#This Row],[33 kV_F7_Ex
Incomer5]]-DY109)*1000&lt;0,0,(RD[[#This Row],[33 kV_F7_Ex
Incomer5]]-DY109)*1000)</f>
        <v>113099.99999999945</v>
      </c>
      <c r="EQ110" s="140">
        <f>IF((RD[[#This Row],[33 kV_F7_Im
Incomer5]]-DZ109)*1000&lt;0,0,(RD[[#This Row],[33 kV_F7_Im
Incomer5]]-DZ109)*1000)</f>
        <v>300.00000000000068</v>
      </c>
      <c r="ER110" s="140">
        <f>IF((RD[[#This Row],[33 kV_Aux Trafo]]-EA109)*1000&lt;0,0,(RD[[#This Row],[33 kV_Aux Trafo]]-EA109)*1000)</f>
        <v>280.00000000000114</v>
      </c>
      <c r="ES110" s="152">
        <f>IF((RD[[#This Row],[33kV_OG1_Ex_]]-EB109)*1&lt;0,0,(RD[[#This Row],[33kV_OG1_Ex_]]-EB109)*1)</f>
        <v>490881</v>
      </c>
      <c r="ET110" s="140">
        <f>IF((RD[[#This Row],[33kV_OG1_Im]]-EC109)*1&lt;0,0,(RD[[#This Row],[33kV_OG1_Im]]-EC109)*1)</f>
        <v>2568.3200000000652</v>
      </c>
      <c r="EU110" s="140">
        <f>IF((RD[[#This Row],[132kV_TX1_EX]]-ED109)*720&lt;=0,"",(RD[[#This Row],[132kV_TX1_EX]]-ED109)*720)</f>
        <v>2160</v>
      </c>
      <c r="EV110" s="140">
        <f>IF((RD[[#This Row],[132 kV_Tx1_Im]]-EE109)*720&lt;=0,0,(RD[[#This Row],[132 kV_Tx1_Im]]-EE109)*720)</f>
        <v>352080</v>
      </c>
      <c r="EW110" s="140">
        <f>IF((RD[[#This Row],[132kV_L1_Ex]]-EF109)*720&lt;=0,0,(RD[[#This Row],[132kV_L1_Ex]]-EF109)*720)</f>
        <v>489384.00000000838</v>
      </c>
      <c r="EX110" s="140">
        <f>IF((RD[[#This Row],[132kV_L1_Im]]-EG109)*720&lt;=0,0,(RD[[#This Row],[132kV_L1_Im]]-EG109)*720)</f>
        <v>2951.9999999999345</v>
      </c>
      <c r="EY110" s="316">
        <f>IFERROR(RD[[#This Row],[33kV_OG1_Ex (MWh)]]+RD[[#This Row],[33kV_OG1_Im (MWh)]],"")</f>
        <v>493449.32000000007</v>
      </c>
      <c r="EZ110" s="142">
        <f>RD[[#This Row],[33kV_OG1_Ex (MWh)]]-RD[[#This Row],[33kV_OG1_Im (MWh)]]</f>
        <v>488312.67999999993</v>
      </c>
      <c r="FA110" s="142">
        <f>IFERROR(RD[[#This Row],[132kV_L1_Ex(MWh)]]-RD[[#This Row],[132kV_L1_Im(MWh)]],"")</f>
        <v>486432.00000000844</v>
      </c>
      <c r="FB110" s="318">
        <f>IFERROR(RD[[#This Row],[33kV_Ex(MWh)]]/RD[[#This Row],[Inv Total Gneration (MWh)]]-1,"")</f>
        <v>-5.8852800709792152E-3</v>
      </c>
      <c r="FC110" s="319">
        <f>IFERROR((RD[[#This Row],[Sunset Time (POA&lt;20 W/m2)]]-RD[[#This Row],[Sunrise Time (POA&gt;20 W/m2)]])*24,0)</f>
        <v>12.683333333333334</v>
      </c>
      <c r="FD110" s="233">
        <v>128.08000000000001</v>
      </c>
      <c r="FE110" s="329" t="s">
        <v>297</v>
      </c>
      <c r="FG110" s="138" t="str">
        <f>IFERROR(RD[[#This Row],[E_AC (WPR)]]/RD[[#This Row],[E_DC (WPR)]],"")</f>
        <v/>
      </c>
    </row>
    <row r="111" spans="1:163">
      <c r="A111" s="130">
        <f t="shared" si="167"/>
        <v>45851</v>
      </c>
      <c r="B111" s="132">
        <f>YEAR(RD[[#This Row],[Date]])+IF(MONTH(RD[[#This Row],[Date]])&gt;=4,1,0)</f>
        <v>2026</v>
      </c>
      <c r="C111" s="132">
        <f>YEAR(RD[[#This Row],[Date]])</f>
        <v>2025</v>
      </c>
      <c r="D111" s="133">
        <f t="shared" si="170"/>
        <v>45839</v>
      </c>
      <c r="E111" s="132">
        <f>DAY(EOMONTH(RD[[#This Row],[Date]],0))</f>
        <v>31</v>
      </c>
      <c r="F111" s="146">
        <v>0.26041666666666669</v>
      </c>
      <c r="G111" s="156">
        <v>0.78194444444444444</v>
      </c>
      <c r="H111" s="121">
        <v>5373.2</v>
      </c>
      <c r="I111" s="257">
        <v>5364.3</v>
      </c>
      <c r="J111" s="121">
        <v>4967.1000000000004</v>
      </c>
      <c r="K111" s="121">
        <v>4951.5</v>
      </c>
      <c r="L111" s="121">
        <v>5085.6000000000004</v>
      </c>
      <c r="M111" s="121">
        <v>5282.9</v>
      </c>
      <c r="N111" s="121">
        <v>5136.8</v>
      </c>
      <c r="O111" s="121">
        <v>5762.4</v>
      </c>
      <c r="P111" s="121">
        <v>5158.8999999999996</v>
      </c>
      <c r="Q111" s="121">
        <v>5098.1000000000004</v>
      </c>
      <c r="R111" s="121">
        <v>5155.3999999999996</v>
      </c>
      <c r="S111" s="255">
        <v>5273.3</v>
      </c>
      <c r="T111" s="121">
        <v>5366.3</v>
      </c>
      <c r="U111" s="121">
        <v>5123.2</v>
      </c>
      <c r="V111" s="121">
        <v>5395.8</v>
      </c>
      <c r="W111" s="121">
        <v>5246.8</v>
      </c>
      <c r="X111" s="283">
        <v>7276</v>
      </c>
      <c r="Y111" s="192">
        <v>8206.7999999999993</v>
      </c>
      <c r="Z111" s="192">
        <v>7143.3</v>
      </c>
      <c r="AA111" s="192">
        <v>7485.9</v>
      </c>
      <c r="AB111" s="283">
        <v>7623.7</v>
      </c>
      <c r="AC111" s="192">
        <v>4727.8999999999996</v>
      </c>
      <c r="AD111" s="192">
        <v>7276.6</v>
      </c>
      <c r="AE111" s="192">
        <v>7436.7</v>
      </c>
      <c r="AF111" s="283">
        <v>7240</v>
      </c>
      <c r="AG111" s="192">
        <v>7210</v>
      </c>
      <c r="AH111" s="192">
        <v>7210.6</v>
      </c>
      <c r="AI111" s="283">
        <v>7270.3</v>
      </c>
      <c r="AJ111" s="136">
        <v>5695.7</v>
      </c>
      <c r="AK111" s="136">
        <v>5858.5</v>
      </c>
      <c r="AL111" s="136">
        <v>5799.9</v>
      </c>
      <c r="AM111" s="136">
        <v>5847.8</v>
      </c>
      <c r="AN111" s="136">
        <v>5801.1</v>
      </c>
      <c r="AO111" s="136">
        <v>6005.4</v>
      </c>
      <c r="AP111" s="136">
        <v>5860.7</v>
      </c>
      <c r="AQ111" s="136">
        <v>5431.4</v>
      </c>
      <c r="AR111" s="136">
        <v>4671.3</v>
      </c>
      <c r="AS111" s="136">
        <v>4698.5</v>
      </c>
      <c r="AT111" s="136">
        <v>4742.3999999999996</v>
      </c>
      <c r="AU111" s="136">
        <v>4461.3999999999996</v>
      </c>
      <c r="AV111" s="136">
        <v>4794.3999999999996</v>
      </c>
      <c r="AW111" s="136">
        <v>4712.8</v>
      </c>
      <c r="AX111" s="136">
        <v>6656.9</v>
      </c>
      <c r="AY111" s="136">
        <v>7511.7</v>
      </c>
      <c r="AZ111" s="136">
        <v>5418.1</v>
      </c>
      <c r="BA111" s="136">
        <v>6610.8</v>
      </c>
      <c r="BB111" s="136">
        <v>7167</v>
      </c>
      <c r="BC111" s="136">
        <v>6879</v>
      </c>
      <c r="BD111" s="136">
        <v>6425</v>
      </c>
      <c r="BE111" s="136">
        <v>7044</v>
      </c>
      <c r="BF111" s="136">
        <v>7545</v>
      </c>
      <c r="BG111" s="136">
        <v>7697</v>
      </c>
      <c r="BH111" s="136">
        <v>7693</v>
      </c>
      <c r="BI111" s="136">
        <v>7740</v>
      </c>
      <c r="BJ111" s="136">
        <v>5094</v>
      </c>
      <c r="BK111" s="136">
        <v>4066</v>
      </c>
      <c r="BL111" s="136">
        <v>4917</v>
      </c>
      <c r="BM111" s="136">
        <v>4872</v>
      </c>
      <c r="BN111" s="136">
        <v>5437</v>
      </c>
      <c r="BO111" s="136">
        <v>5194</v>
      </c>
      <c r="BP111" s="136">
        <v>5704</v>
      </c>
      <c r="BQ111" s="136">
        <v>5600</v>
      </c>
      <c r="BR111" s="136">
        <v>5796</v>
      </c>
      <c r="BS111" s="136">
        <v>5951</v>
      </c>
      <c r="BT111" s="136">
        <v>5807</v>
      </c>
      <c r="BU111" s="136">
        <v>6270</v>
      </c>
      <c r="BV111" s="192">
        <v>5137</v>
      </c>
      <c r="BW111" s="192">
        <v>4748</v>
      </c>
      <c r="BX111" s="192">
        <v>4432</v>
      </c>
      <c r="BY111" s="192">
        <v>4952</v>
      </c>
      <c r="BZ111" s="136">
        <v>2268</v>
      </c>
      <c r="CA111" s="136">
        <v>649</v>
      </c>
      <c r="CB111" s="136">
        <v>4823</v>
      </c>
      <c r="CC111" s="136">
        <v>5240</v>
      </c>
      <c r="CD111" s="195">
        <v>3.4197166666699998</v>
      </c>
      <c r="CE111" s="59">
        <v>3.5521605666666694</v>
      </c>
      <c r="CF111" s="195">
        <v>3.377718349999995</v>
      </c>
      <c r="CG111" s="195">
        <v>3.5442604833333338</v>
      </c>
      <c r="CH111" s="195">
        <v>0.48200513333333345</v>
      </c>
      <c r="CI111" s="195">
        <v>0.5158090333333335</v>
      </c>
      <c r="CJ111" s="59">
        <v>0.68885341666666677</v>
      </c>
      <c r="CK111" s="59">
        <v>0.52540253333333353</v>
      </c>
      <c r="CL111" s="195">
        <v>27.453504273504205</v>
      </c>
      <c r="CM111" s="195">
        <v>27.480598290598294</v>
      </c>
      <c r="CN111" s="195">
        <v>38.634545299145266</v>
      </c>
      <c r="CO111" s="195">
        <v>35.572501709401713</v>
      </c>
      <c r="CP111" s="195">
        <v>77.713675213675359</v>
      </c>
      <c r="CQ111" s="195">
        <v>78.16153846153837</v>
      </c>
      <c r="CR111" s="195">
        <v>0</v>
      </c>
      <c r="CS111" s="59">
        <v>0</v>
      </c>
      <c r="CT111" s="195">
        <v>1.5335641025641009</v>
      </c>
      <c r="CU111" s="195">
        <v>1.6541999999999999</v>
      </c>
      <c r="CV111" s="195">
        <v>2.9249999999999998</v>
      </c>
      <c r="CW111" s="247">
        <v>3.6779999999999999</v>
      </c>
      <c r="CX111" s="193">
        <f>IFERROR(AVERAGEIF(RD[[#This Row],[IS1POA1 (KWh/m2)]:[IS7POA2 (KWh/m2)]],"&lt;&gt;0",RD[[#This Row],[IS1POA1 (KWh/m2)]:[IS7POA2 (KWh/m2)]]),"")</f>
        <v>3.4859386166683346</v>
      </c>
      <c r="CY111" s="193">
        <f>IFERROR(AVERAGEIF(RD[[#This Row],[IS1GHI1 (KWh/m2)]:[IS7GHI2 (KWh/m2)]],"&lt;&gt;0",RD[[#This Row],[IS1GHI1 (KWh/m2)]:[IS7GHI2 (KWh/m2)]]),"")</f>
        <v>3.4609894166666644</v>
      </c>
      <c r="CZ111" s="193">
        <f>IFERROR(AVERAGEIF(RD[[#This Row],[IS1POA_BS1 (KWh/m2)]:[IS7POA_BS2 (KWh/m2)]],"&lt;&gt;0",RD[[#This Row],[IS1POA_BS1 (KWh/m2)]:[IS7POA_BS2 (KWh/m2)]]),"")</f>
        <v>0.49890708333333345</v>
      </c>
      <c r="DA111" s="193">
        <f>IFERROR(AVERAGEIF(RD[[#This Row],[IS1GHI_BS1 (KWh/m2)]:[IS1GHI_BS1 (KWh/m2)2]],"&lt;&gt;0",RD[[#This Row],[IS1GHI_BS1 (KWh/m2)]:[IS1GHI_BS1 (KWh/m2)2]]),"")</f>
        <v>0.60712797500000015</v>
      </c>
      <c r="DB111" s="193">
        <f>IFERROR(AVERAGEIF(RD[[#This Row],[IS1AT1 (°C)]:[IS7AT2 (°C)]],"&lt;&gt;0",RD[[#This Row],[IS1AT1 (°C)]:[IS7AT2 (°C)]]),"")</f>
        <v>27.467051282051251</v>
      </c>
      <c r="DC111" s="193">
        <f>IFERROR(AVERAGEIF(RD[[#This Row],[IS1MT1 (°C)]:[IS7MT2 (°C)]],"&lt;&gt;0",RD[[#This Row],[IS1MT1 (°C)]:[IS7MT2 (°C)]]),"")</f>
        <v>37.10352350427349</v>
      </c>
      <c r="DD111" s="193">
        <f>IFERROR(AVERAGEIF(RD[[#This Row],[IS1RH1 (%)]:[IS7RH2 (%)]],"&lt;&gt;0",RD[[#This Row],[IS1RH1 (%)]:[IS7RH2 (%)]]),"")</f>
        <v>77.937606837606864</v>
      </c>
      <c r="DE111" s="193" t="str">
        <f>IFERROR(AVERAGEIF(RD[[#This Row],[IS1Rain1 (mm)]:[IS7Rain2 (mm)]],"&lt;&gt;0",RD[[#This Row],[IS1Rain1 (mm)]:[IS7Rain2 (mm)]]),"")</f>
        <v/>
      </c>
      <c r="DF111" s="193">
        <f>IFERROR(AVERAGEIF(RD[[#This Row],[WS_Solar1_Avg (m/s)]:[IS7_WS_Solar1_Avg (m/s)]],"&lt;&gt;0",RD[[#This Row],[WS_Solar1_Avg (m/s)]:[IS7_WS_Solar1_Avg (m/s)]]),"")</f>
        <v>1.5938820512820504</v>
      </c>
      <c r="DG111" s="193">
        <f>IFERROR(AVERAGEIF(RD[[#This Row],[WS_Solar1_Max (m/s)]:[IS7_WS_Solar1_Max (m/s)]],"&lt;&gt;0",RD[[#This Row],[WS_Solar1_Max (m/s)]:[IS7_WS_Solar1_Max (m/s)]]),"")</f>
        <v>3.3014999999999999</v>
      </c>
      <c r="DH111" s="193">
        <f>SUM(RD[[#This Row],[IS1Inv1M1]:[IS4Inv4M2]])</f>
        <v>169849.4</v>
      </c>
      <c r="DI111" s="194">
        <f>SUM(RD[[#This Row],[IS7Inv1M1]]+RD[[#This Row],[IS7Inv2M1]])</f>
        <v>9369.7999999999993</v>
      </c>
      <c r="DJ111" s="193">
        <f>SUM(RD[[#This Row],[IS5Inv1M1]:[IS5Inv2M2]])</f>
        <v>23201.899999999998</v>
      </c>
      <c r="DK111" s="193">
        <f>SUM(RD[[#This Row],[IS8Inv1M1]:[IS9Inv2M2]])</f>
        <v>44908.5</v>
      </c>
      <c r="DL111" s="60">
        <f>SUM(RD[[#This Row],[IS6Inv1M1]:[IS6Inv2M2]])</f>
        <v>23098.6</v>
      </c>
      <c r="DM111" s="275">
        <f>SUM(RD[[#This Row],[IS10Inv1M1]:[IS11Inv1M4]],RD[[#This Row],[IS14Inv1M1]:[IS14Inv2M4]])</f>
        <v>109388</v>
      </c>
      <c r="DN111" s="275">
        <f>SUM(RD[[#This Row],[IS12Inv1M1]:[IS12Inv1M4]])</f>
        <v>21935</v>
      </c>
      <c r="DO111" s="275">
        <f>SUM(RD[[#This Row],[IS13Inv1M1]:[IS13Inv2M2]])</f>
        <v>23824</v>
      </c>
      <c r="DP111" s="193">
        <f>SUM(RD[[#This Row],[O2R15]:[O2R26]])</f>
        <v>425575.19999999995</v>
      </c>
      <c r="DQ111" s="158">
        <v>45679.8</v>
      </c>
      <c r="DR111" s="162">
        <v>230.5</v>
      </c>
      <c r="DS111" s="158">
        <v>39955.699999999997</v>
      </c>
      <c r="DT111" s="158">
        <v>242.3</v>
      </c>
      <c r="DU111" s="162">
        <v>47257.1</v>
      </c>
      <c r="DV111" s="162">
        <v>455.5</v>
      </c>
      <c r="DW111" s="158">
        <v>10918.9</v>
      </c>
      <c r="DX111" s="162">
        <v>57.8</v>
      </c>
      <c r="DY111" s="162">
        <v>4655.3999999999996</v>
      </c>
      <c r="DZ111" s="162">
        <v>24.9</v>
      </c>
      <c r="EA111" s="134">
        <v>109.59</v>
      </c>
      <c r="EB111" s="230">
        <v>152674156</v>
      </c>
      <c r="EC111" s="229">
        <v>1084392.064</v>
      </c>
      <c r="ED111" s="230">
        <v>1301</v>
      </c>
      <c r="EE111" s="230">
        <v>146865</v>
      </c>
      <c r="EF111" s="158">
        <v>211669.7</v>
      </c>
      <c r="EG111" s="158">
        <v>2078.8000000000002</v>
      </c>
      <c r="EH111" s="140">
        <f>IF((RD[[#This Row],[33 kV_F3_Ex
Incomer1]]-DQ110)*1000&lt;0,0,(RD[[#This Row],[33 kV_F3_Ex
Incomer1]]-DQ110)*1000)</f>
        <v>85700.000000004366</v>
      </c>
      <c r="EI111" s="140">
        <f>IF((RD[[#This Row],[34 kV_F3_Im
Incomer1]]-DR110)*1000&lt;0,0,(RD[[#This Row],[34 kV_F3_Im
Incomer1]]-DR110)*1000)</f>
        <v>400.00000000000568</v>
      </c>
      <c r="EJ111" s="140">
        <f>IF((RD[[#This Row],[33 kV_F4_Ex
Incomer2]]-DS110)*1000&lt;0,0,(RD[[#This Row],[33 kV_F4_Ex
Incomer2]]-DS110)*1000)</f>
        <v>79699.99999999709</v>
      </c>
      <c r="EK111" s="140">
        <f>IF((RD[[#This Row],[34 kV_F4_Im
Incomer2]]-DT110)*1000&lt;0,0,(RD[[#This Row],[34 kV_F4_Im
Incomer2]]-DT110)*1000)</f>
        <v>300.00000000001137</v>
      </c>
      <c r="EL111" s="140">
        <f>IF((RD[[#This Row],[33 kV_F5_Ex
Incomer3]]-DU110)*1000&lt;0,0,(RD[[#This Row],[33 kV_F5_Ex
Incomer3]]-DU110)*1000)</f>
        <v>100199.99999999709</v>
      </c>
      <c r="EM111" s="140">
        <f>IF((RD[[#This Row],[34 kV_F5_Im
Incomer3]]-DV110)*1000&lt;0,0,(RD[[#This Row],[34 kV_F5_Im
Incomer3]]-DV110)*1000)</f>
        <v>600.00000000002274</v>
      </c>
      <c r="EN111" s="140">
        <f>IF((RD[[#This Row],[33 kV_F6_Ex
Incomer4]]-DW110)*1000&lt;0,0,(RD[[#This Row],[33 kV_F6_Ex
Incomer4]]-DW110)*1000)</f>
        <v>32000</v>
      </c>
      <c r="EO111" s="140">
        <f t="shared" si="166"/>
        <v>300.00000000001137</v>
      </c>
      <c r="EP111" s="140">
        <f>IF((RD[[#This Row],[33 kV_F7_Ex
Incomer5]]-DY110)*1000&lt;0,0,(RD[[#This Row],[33 kV_F7_Ex
Incomer5]]-DY110)*1000)</f>
        <v>97699.999999999825</v>
      </c>
      <c r="EQ111" s="140">
        <f>IF((RD[[#This Row],[33 kV_F7_Im
Incomer5]]-DZ110)*1000&lt;0,0,(RD[[#This Row],[33 kV_F7_Im
Incomer5]]-DZ110)*1000)</f>
        <v>399.99999999999858</v>
      </c>
      <c r="ER111" s="140">
        <f>IF((RD[[#This Row],[33 kV_Aux Trafo]]-EA110)*1000&lt;0,0,(RD[[#This Row],[33 kV_Aux Trafo]]-EA110)*1000)</f>
        <v>299.99999999999716</v>
      </c>
      <c r="ES111" s="152">
        <f>IF((RD[[#This Row],[33kV_OG1_Ex_]]-EB110)*1&lt;0,0,(RD[[#This Row],[33kV_OG1_Ex_]]-EB110)*1)</f>
        <v>422281</v>
      </c>
      <c r="ET111" s="140">
        <f>IF((RD[[#This Row],[33kV_OG1_Im]]-EC110)*1&lt;0,0,(RD[[#This Row],[33kV_OG1_Im]]-EC110)*1)</f>
        <v>2021.5039999999572</v>
      </c>
      <c r="EU111" s="140">
        <f>IF((RD[[#This Row],[132kV_TX1_EX]]-ED110)*720&lt;=0,"",(RD[[#This Row],[132kV_TX1_EX]]-ED110)*720)</f>
        <v>2160</v>
      </c>
      <c r="EV111" s="140">
        <f>IF((RD[[#This Row],[132 kV_Tx1_Im]]-EE110)*720&lt;=0,0,(RD[[#This Row],[132 kV_Tx1_Im]]-EE110)*720)</f>
        <v>303120</v>
      </c>
      <c r="EW111" s="140">
        <f>IF((RD[[#This Row],[132kV_L1_Ex]]-EF110)*720&lt;=0,0,(RD[[#This Row],[132kV_L1_Ex]]-EF110)*720)</f>
        <v>420984.00000000838</v>
      </c>
      <c r="EX111" s="140">
        <f>IF((RD[[#This Row],[132kV_L1_Im]]-EG110)*720&lt;=0,0,(RD[[#This Row],[132kV_L1_Im]]-EG110)*720)</f>
        <v>2664.0000000001965</v>
      </c>
      <c r="EY111" s="316">
        <f>IFERROR(RD[[#This Row],[33kV_OG1_Ex (MWh)]]+RD[[#This Row],[33kV_OG1_Im (MWh)]],"")</f>
        <v>424302.50399999996</v>
      </c>
      <c r="EZ111" s="142">
        <f>RD[[#This Row],[33kV_OG1_Ex (MWh)]]-RD[[#This Row],[33kV_OG1_Im (MWh)]]</f>
        <v>420259.49600000004</v>
      </c>
      <c r="FA111" s="142">
        <f>IFERROR(RD[[#This Row],[132kV_L1_Ex(MWh)]]-RD[[#This Row],[132kV_L1_Im(MWh)]],"")</f>
        <v>418320.00000000821</v>
      </c>
      <c r="FB111" s="318">
        <f>IFERROR(RD[[#This Row],[33kV_Ex(MWh)]]/RD[[#This Row],[Inv Total Gneration (MWh)]]-1,"")</f>
        <v>-2.9905314031456465E-3</v>
      </c>
      <c r="FC111" s="319">
        <f>IFERROR((RD[[#This Row],[Sunset Time (POA&lt;20 W/m2)]]-RD[[#This Row],[Sunrise Time (POA&gt;20 W/m2)]])*24,0)</f>
        <v>12.516666666666667</v>
      </c>
      <c r="FD111" s="233">
        <v>128.08000000000001</v>
      </c>
      <c r="FE111" s="331" t="s">
        <v>297</v>
      </c>
      <c r="FG111" s="138" t="str">
        <f>IFERROR(RD[[#This Row],[E_AC (WPR)]]/RD[[#This Row],[E_DC (WPR)]],"")</f>
        <v/>
      </c>
    </row>
    <row r="112" spans="1:163">
      <c r="A112" s="130">
        <f t="shared" si="167"/>
        <v>45852</v>
      </c>
      <c r="B112" s="132">
        <f>YEAR(RD[[#This Row],[Date]])+IF(MONTH(RD[[#This Row],[Date]])&gt;=4,1,0)</f>
        <v>2026</v>
      </c>
      <c r="C112" s="132">
        <f>YEAR(RD[[#This Row],[Date]])</f>
        <v>2025</v>
      </c>
      <c r="D112" s="133">
        <f t="shared" si="170"/>
        <v>45839</v>
      </c>
      <c r="E112" s="132">
        <f>DAY(EOMONTH(RD[[#This Row],[Date]],0))</f>
        <v>31</v>
      </c>
      <c r="F112" s="146">
        <v>0.25972222222222224</v>
      </c>
      <c r="G112" s="156">
        <v>0.77847222222222223</v>
      </c>
      <c r="H112" s="121">
        <v>7088.4</v>
      </c>
      <c r="I112" s="257">
        <v>7132.2</v>
      </c>
      <c r="J112" s="121">
        <v>6641.2</v>
      </c>
      <c r="K112" s="121">
        <v>6570.5</v>
      </c>
      <c r="L112" s="121">
        <v>6713.2</v>
      </c>
      <c r="M112" s="121">
        <v>6963</v>
      </c>
      <c r="N112" s="121">
        <v>6809.2</v>
      </c>
      <c r="O112" s="121">
        <v>7468.2</v>
      </c>
      <c r="P112" s="121">
        <v>6888.5</v>
      </c>
      <c r="Q112" s="121">
        <v>6785.2</v>
      </c>
      <c r="R112" s="121">
        <v>6890.7</v>
      </c>
      <c r="S112" s="255">
        <v>6994.4</v>
      </c>
      <c r="T112" s="121">
        <v>7198.4</v>
      </c>
      <c r="U112" s="121">
        <v>6935.6</v>
      </c>
      <c r="V112" s="121">
        <v>7211.5</v>
      </c>
      <c r="W112" s="121">
        <v>7032.9</v>
      </c>
      <c r="X112" s="283">
        <v>9786.6</v>
      </c>
      <c r="Y112" s="192">
        <v>10821.8</v>
      </c>
      <c r="Z112" s="192">
        <v>9555.9</v>
      </c>
      <c r="AA112" s="192">
        <v>9910.9</v>
      </c>
      <c r="AB112" s="283">
        <v>10494.7</v>
      </c>
      <c r="AC112" s="192">
        <v>6673.2</v>
      </c>
      <c r="AD112" s="192">
        <v>9799.2999999999993</v>
      </c>
      <c r="AE112" s="192">
        <v>9968.7999999999993</v>
      </c>
      <c r="AF112" s="283">
        <v>9841.9</v>
      </c>
      <c r="AG112" s="192">
        <v>9822</v>
      </c>
      <c r="AH112" s="192">
        <v>9719.2000000000007</v>
      </c>
      <c r="AI112" s="283">
        <v>9767.7000000000007</v>
      </c>
      <c r="AJ112" s="136">
        <v>8185.8</v>
      </c>
      <c r="AK112" s="136">
        <v>8390.7999999999993</v>
      </c>
      <c r="AL112" s="136">
        <v>8332.1</v>
      </c>
      <c r="AM112" s="136">
        <v>8387.2000000000007</v>
      </c>
      <c r="AN112" s="136">
        <v>8412.4</v>
      </c>
      <c r="AO112" s="136">
        <v>8714.1</v>
      </c>
      <c r="AP112" s="136">
        <v>8555.9</v>
      </c>
      <c r="AQ112" s="136">
        <v>8490</v>
      </c>
      <c r="AR112" s="136">
        <v>6791.2</v>
      </c>
      <c r="AS112" s="136">
        <v>6855.7</v>
      </c>
      <c r="AT112" s="136">
        <v>6868</v>
      </c>
      <c r="AU112" s="136">
        <v>6506.5</v>
      </c>
      <c r="AV112" s="136">
        <v>6946.4</v>
      </c>
      <c r="AW112" s="136">
        <v>6883.6</v>
      </c>
      <c r="AX112" s="136">
        <v>9592.7999999999993</v>
      </c>
      <c r="AY112" s="136">
        <v>10698.5</v>
      </c>
      <c r="AZ112" s="136">
        <v>8017.6</v>
      </c>
      <c r="BA112" s="136">
        <v>9674.4</v>
      </c>
      <c r="BB112" s="136">
        <v>8399</v>
      </c>
      <c r="BC112" s="136">
        <v>8183.5</v>
      </c>
      <c r="BD112" s="136">
        <v>8191</v>
      </c>
      <c r="BE112" s="136">
        <v>8832</v>
      </c>
      <c r="BF112" s="136">
        <v>9499.2000000000007</v>
      </c>
      <c r="BG112" s="136">
        <v>9484.6</v>
      </c>
      <c r="BH112" s="136">
        <v>9295.5</v>
      </c>
      <c r="BI112" s="136">
        <v>9434.7999999999993</v>
      </c>
      <c r="BJ112" s="136">
        <v>6260</v>
      </c>
      <c r="BK112" s="136">
        <v>5041</v>
      </c>
      <c r="BL112" s="136">
        <v>6000</v>
      </c>
      <c r="BM112" s="136">
        <v>5953</v>
      </c>
      <c r="BN112" s="136">
        <v>6578.6</v>
      </c>
      <c r="BO112" s="136">
        <v>6310</v>
      </c>
      <c r="BP112" s="136">
        <v>6844</v>
      </c>
      <c r="BQ112" s="136">
        <v>6781.4</v>
      </c>
      <c r="BR112" s="136">
        <v>7001</v>
      </c>
      <c r="BS112" s="136">
        <v>7267</v>
      </c>
      <c r="BT112" s="136">
        <v>7398.8</v>
      </c>
      <c r="BU112" s="136">
        <v>7562</v>
      </c>
      <c r="BV112" s="192">
        <v>6229.6</v>
      </c>
      <c r="BW112" s="192">
        <v>5873.7</v>
      </c>
      <c r="BX112" s="192">
        <v>5339.6</v>
      </c>
      <c r="BY112" s="192">
        <v>5932.7</v>
      </c>
      <c r="BZ112" s="136">
        <v>3144.5</v>
      </c>
      <c r="CA112" s="136">
        <v>813.1</v>
      </c>
      <c r="CB112" s="136">
        <v>5875.5</v>
      </c>
      <c r="CC112" s="136">
        <v>6324.9</v>
      </c>
      <c r="CD112" s="195">
        <v>4.9065755499999897</v>
      </c>
      <c r="CE112" s="59">
        <v>5.450907299999999</v>
      </c>
      <c r="CF112" s="195">
        <v>4.7599937499999951</v>
      </c>
      <c r="CG112" s="195">
        <v>5.530998699999996</v>
      </c>
      <c r="CH112" s="195">
        <v>0.69389178333333312</v>
      </c>
      <c r="CI112" s="195">
        <v>0.77015751666666676</v>
      </c>
      <c r="CJ112" s="59">
        <v>0.96094978333333358</v>
      </c>
      <c r="CK112" s="59">
        <v>0.8092767166666659</v>
      </c>
      <c r="CL112" s="195">
        <v>27.819110738255006</v>
      </c>
      <c r="CM112" s="195">
        <v>27.97283557046979</v>
      </c>
      <c r="CN112" s="195">
        <v>41.324637583892702</v>
      </c>
      <c r="CO112" s="195">
        <v>38.692040268456402</v>
      </c>
      <c r="CP112" s="195">
        <v>77.134790268456356</v>
      </c>
      <c r="CQ112" s="195">
        <v>76.86634228187927</v>
      </c>
      <c r="CR112" s="195">
        <v>6.0906040268456415E-3</v>
      </c>
      <c r="CS112" s="59">
        <v>0</v>
      </c>
      <c r="CT112" s="195">
        <v>1.3724068791946296</v>
      </c>
      <c r="CU112" s="195">
        <v>1.4579622483221482</v>
      </c>
      <c r="CV112" s="195">
        <v>2.9159999999999999</v>
      </c>
      <c r="CW112" s="247">
        <v>3.3090000000000002</v>
      </c>
      <c r="CX112" s="193">
        <f>IFERROR(AVERAGEIF(RD[[#This Row],[IS1POA1 (KWh/m2)]:[IS7POA2 (KWh/m2)]],"&lt;&gt;0",RD[[#This Row],[IS1POA1 (KWh/m2)]:[IS7POA2 (KWh/m2)]]),"")</f>
        <v>5.1787414249999948</v>
      </c>
      <c r="CY112" s="193">
        <f>IFERROR(AVERAGEIF(RD[[#This Row],[IS1GHI1 (KWh/m2)]:[IS7GHI2 (KWh/m2)]],"&lt;&gt;0",RD[[#This Row],[IS1GHI1 (KWh/m2)]:[IS7GHI2 (KWh/m2)]]),"")</f>
        <v>5.1454962249999951</v>
      </c>
      <c r="CZ112" s="193">
        <f>IFERROR(AVERAGEIF(RD[[#This Row],[IS1POA_BS1 (KWh/m2)]:[IS7POA_BS2 (KWh/m2)]],"&lt;&gt;0",RD[[#This Row],[IS1POA_BS1 (KWh/m2)]:[IS7POA_BS2 (KWh/m2)]]),"")</f>
        <v>0.73202464999999994</v>
      </c>
      <c r="DA112" s="193">
        <f>IFERROR(AVERAGEIF(RD[[#This Row],[IS1GHI_BS1 (KWh/m2)]:[IS1GHI_BS1 (KWh/m2)2]],"&lt;&gt;0",RD[[#This Row],[IS1GHI_BS1 (KWh/m2)]:[IS1GHI_BS1 (KWh/m2)2]]),"")</f>
        <v>0.88511324999999974</v>
      </c>
      <c r="DB112" s="193">
        <f>IFERROR(AVERAGEIF(RD[[#This Row],[IS1AT1 (°C)]:[IS7AT2 (°C)]],"&lt;&gt;0",RD[[#This Row],[IS1AT1 (°C)]:[IS7AT2 (°C)]]),"")</f>
        <v>27.895973154362398</v>
      </c>
      <c r="DC112" s="193">
        <f>IFERROR(AVERAGEIF(RD[[#This Row],[IS1MT1 (°C)]:[IS7MT2 (°C)]],"&lt;&gt;0",RD[[#This Row],[IS1MT1 (°C)]:[IS7MT2 (°C)]]),"")</f>
        <v>40.008338926174552</v>
      </c>
      <c r="DD112" s="193">
        <f>IFERROR(AVERAGEIF(RD[[#This Row],[IS1RH1 (%)]:[IS7RH2 (%)]],"&lt;&gt;0",RD[[#This Row],[IS1RH1 (%)]:[IS7RH2 (%)]]),"")</f>
        <v>77.000566275167813</v>
      </c>
      <c r="DE112" s="193">
        <f>IFERROR(AVERAGEIF(RD[[#This Row],[IS1Rain1 (mm)]:[IS7Rain2 (mm)]],"&lt;&gt;0",RD[[#This Row],[IS1Rain1 (mm)]:[IS7Rain2 (mm)]]),"")</f>
        <v>6.0906040268456415E-3</v>
      </c>
      <c r="DF112" s="193">
        <f>IFERROR(AVERAGEIF(RD[[#This Row],[WS_Solar1_Avg (m/s)]:[IS7_WS_Solar1_Avg (m/s)]],"&lt;&gt;0",RD[[#This Row],[WS_Solar1_Avg (m/s)]:[IS7_WS_Solar1_Avg (m/s)]]),"")</f>
        <v>1.4151845637583889</v>
      </c>
      <c r="DG112" s="193">
        <f>IFERROR(AVERAGEIF(RD[[#This Row],[WS_Solar1_Max (m/s)]:[IS7_WS_Solar1_Max (m/s)]],"&lt;&gt;0",RD[[#This Row],[WS_Solar1_Max (m/s)]:[IS7_WS_Solar1_Max (m/s)]]),"")</f>
        <v>3.1124999999999998</v>
      </c>
      <c r="DH112" s="193">
        <f>SUM(RD[[#This Row],[IS1Inv1M1]:[IS4Inv4M2]])</f>
        <v>227485.09999999998</v>
      </c>
      <c r="DI112" s="194">
        <f>SUM(RD[[#This Row],[IS7Inv1M1]]+RD[[#This Row],[IS7Inv2M1]])</f>
        <v>13646.9</v>
      </c>
      <c r="DJ112" s="193">
        <f>SUM(RD[[#This Row],[IS5Inv1M1]:[IS5Inv2M2]])</f>
        <v>33295.899999999994</v>
      </c>
      <c r="DK112" s="193">
        <f>SUM(RD[[#This Row],[IS8Inv1M1]:[IS9Inv2M2]])</f>
        <v>65187.8</v>
      </c>
      <c r="DL112" s="60">
        <f>SUM(RD[[#This Row],[IS6Inv1M1]:[IS6Inv2M2]])</f>
        <v>34172.400000000001</v>
      </c>
      <c r="DM112" s="275">
        <f>SUM(RD[[#This Row],[IS10Inv1M1]:[IS11Inv1M4]],RD[[#This Row],[IS14Inv1M1]:[IS14Inv2M4]])</f>
        <v>134107.20000000001</v>
      </c>
      <c r="DN112" s="275">
        <f>SUM(RD[[#This Row],[IS12Inv1M1]:[IS12Inv1M4]])</f>
        <v>26514</v>
      </c>
      <c r="DO112" s="275">
        <f>SUM(RD[[#This Row],[IS13Inv1M1]:[IS13Inv2M2]])</f>
        <v>29228.799999999999</v>
      </c>
      <c r="DP112" s="193">
        <f>SUM(RD[[#This Row],[O2R15]:[O2R26]])</f>
        <v>563638.10000000009</v>
      </c>
      <c r="DQ112" s="158">
        <v>45795.3</v>
      </c>
      <c r="DR112" s="162">
        <v>230.8</v>
      </c>
      <c r="DS112" s="158">
        <v>40061.1</v>
      </c>
      <c r="DT112" s="158">
        <v>242.7</v>
      </c>
      <c r="DU112" s="162">
        <v>47401.8</v>
      </c>
      <c r="DV112" s="162">
        <v>456.2</v>
      </c>
      <c r="DW112" s="158">
        <v>10958</v>
      </c>
      <c r="DX112" s="162">
        <v>58.1</v>
      </c>
      <c r="DY112" s="162">
        <v>4774.5</v>
      </c>
      <c r="DZ112" s="162">
        <v>25.6</v>
      </c>
      <c r="EA112" s="134">
        <v>109.89</v>
      </c>
      <c r="EB112" s="230">
        <v>153230753</v>
      </c>
      <c r="EC112" s="229">
        <v>1087010.8160000001</v>
      </c>
      <c r="ED112" s="230">
        <v>1304</v>
      </c>
      <c r="EE112" s="230">
        <v>147419</v>
      </c>
      <c r="EF112" s="158">
        <v>212440.4</v>
      </c>
      <c r="EG112" s="158">
        <v>2083.1</v>
      </c>
      <c r="EH112" s="140">
        <f>IF((RD[[#This Row],[33 kV_F3_Ex
Incomer1]]-DQ111)*1000&lt;0,0,(RD[[#This Row],[33 kV_F3_Ex
Incomer1]]-DQ111)*1000)</f>
        <v>115500</v>
      </c>
      <c r="EI112" s="140">
        <f>IF((RD[[#This Row],[34 kV_F3_Im
Incomer1]]-DR111)*1000&lt;0,0,(RD[[#This Row],[34 kV_F3_Im
Incomer1]]-DR111)*1000)</f>
        <v>300.00000000001137</v>
      </c>
      <c r="EJ112" s="140">
        <f>IF((RD[[#This Row],[33 kV_F4_Ex
Incomer2]]-DS111)*1000&lt;0,0,(RD[[#This Row],[33 kV_F4_Ex
Incomer2]]-DS111)*1000)</f>
        <v>105400.00000000146</v>
      </c>
      <c r="EK112" s="140">
        <f>IF((RD[[#This Row],[34 kV_F4_Im
Incomer2]]-DT111)*1000&lt;0,0,(RD[[#This Row],[34 kV_F4_Im
Incomer2]]-DT111)*1000)</f>
        <v>399.99999999997726</v>
      </c>
      <c r="EL112" s="140">
        <f>IF((RD[[#This Row],[33 kV_F5_Ex
Incomer3]]-DU111)*1000&lt;0,0,(RD[[#This Row],[33 kV_F5_Ex
Incomer3]]-DU111)*1000)</f>
        <v>144700.00000000437</v>
      </c>
      <c r="EM112" s="140">
        <f>IF((RD[[#This Row],[34 kV_F5_Im
Incomer3]]-DV111)*1000&lt;0,0,(RD[[#This Row],[34 kV_F5_Im
Incomer3]]-DV111)*1000)</f>
        <v>699.99999999998863</v>
      </c>
      <c r="EN112" s="140">
        <f>IF((RD[[#This Row],[33 kV_F6_Ex
Incomer4]]-DW111)*1000&lt;0,0,(RD[[#This Row],[33 kV_F6_Ex
Incomer4]]-DW111)*1000)</f>
        <v>39100.000000000364</v>
      </c>
      <c r="EO112" s="140">
        <f t="shared" si="166"/>
        <v>299.99999999998295</v>
      </c>
      <c r="EP112" s="140">
        <f>IF((RD[[#This Row],[33 kV_F7_Ex
Incomer5]]-DY111)*1000&lt;0,0,(RD[[#This Row],[33 kV_F7_Ex
Incomer5]]-DY111)*1000)</f>
        <v>119100.00000000036</v>
      </c>
      <c r="EQ112" s="140">
        <f>IF((RD[[#This Row],[33 kV_F7_Im
Incomer5]]-DZ111)*1000&lt;0,0,(RD[[#This Row],[33 kV_F7_Im
Incomer5]]-DZ111)*1000)</f>
        <v>700.00000000000284</v>
      </c>
      <c r="ER112" s="140">
        <f>IF((RD[[#This Row],[33 kV_Aux Trafo]]-EA111)*1000&lt;0,0,(RD[[#This Row],[33 kV_Aux Trafo]]-EA111)*1000)</f>
        <v>299.99999999999716</v>
      </c>
      <c r="ES112" s="152">
        <f>IF((RD[[#This Row],[33kV_OG1_Ex_]]-EB111)*1&lt;0,0,(RD[[#This Row],[33kV_OG1_Ex_]]-EB111)*1)</f>
        <v>556597</v>
      </c>
      <c r="ET112" s="140">
        <f>IF((RD[[#This Row],[33kV_OG1_Im]]-EC111)*1&lt;0,0,(RD[[#This Row],[33kV_OG1_Im]]-EC111)*1)</f>
        <v>2618.752000000095</v>
      </c>
      <c r="EU112" s="140">
        <f>IF((RD[[#This Row],[132kV_TX1_EX]]-ED111)*720&lt;=0,"",(RD[[#This Row],[132kV_TX1_EX]]-ED111)*720)</f>
        <v>2160</v>
      </c>
      <c r="EV112" s="140">
        <f>IF((RD[[#This Row],[132 kV_Tx1_Im]]-EE111)*720&lt;=0,0,(RD[[#This Row],[132 kV_Tx1_Im]]-EE111)*720)</f>
        <v>398880</v>
      </c>
      <c r="EW112" s="140">
        <f>IF((RD[[#This Row],[132kV_L1_Ex]]-EF111)*720&lt;=0,0,(RD[[#This Row],[132kV_L1_Ex]]-EF111)*720)</f>
        <v>554903.99999998743</v>
      </c>
      <c r="EX112" s="140">
        <f>IF((RD[[#This Row],[132kV_L1_Im]]-EG111)*720&lt;=0,0,(RD[[#This Row],[132kV_L1_Im]]-EG111)*720)</f>
        <v>3095.9999999998035</v>
      </c>
      <c r="EY112" s="316">
        <f>IFERROR(RD[[#This Row],[33kV_OG1_Ex (MWh)]]+RD[[#This Row],[33kV_OG1_Im (MWh)]],"")</f>
        <v>559215.75200000009</v>
      </c>
      <c r="EZ112" s="142">
        <f>RD[[#This Row],[33kV_OG1_Ex (MWh)]]-RD[[#This Row],[33kV_OG1_Im (MWh)]]</f>
        <v>553978.24799999991</v>
      </c>
      <c r="FA112" s="142">
        <f>IFERROR(RD[[#This Row],[132kV_L1_Ex(MWh)]]-RD[[#This Row],[132kV_L1_Im(MWh)]],"")</f>
        <v>551807.99999998766</v>
      </c>
      <c r="FB112" s="318">
        <f>IFERROR(RD[[#This Row],[33kV_Ex(MWh)]]/RD[[#This Row],[Inv Total Gneration (MWh)]]-1,"")</f>
        <v>-7.8460771193430423E-3</v>
      </c>
      <c r="FC112" s="319">
        <f>IFERROR((RD[[#This Row],[Sunset Time (POA&lt;20 W/m2)]]-RD[[#This Row],[Sunrise Time (POA&gt;20 W/m2)]])*24,0)</f>
        <v>12.450000000000001</v>
      </c>
      <c r="FD112" s="233">
        <v>128.08000000000001</v>
      </c>
      <c r="FE112" s="331" t="s">
        <v>297</v>
      </c>
      <c r="FG112" s="138" t="str">
        <f>IFERROR(RD[[#This Row],[E_AC (WPR)]]/RD[[#This Row],[E_DC (WPR)]],"")</f>
        <v/>
      </c>
    </row>
    <row r="113" spans="1:163">
      <c r="A113" s="130">
        <f t="shared" si="167"/>
        <v>45853</v>
      </c>
      <c r="B113" s="132">
        <f>YEAR(RD[[#This Row],[Date]])+IF(MONTH(RD[[#This Row],[Date]])&gt;=4,1,0)</f>
        <v>2026</v>
      </c>
      <c r="C113" s="132">
        <f>YEAR(RD[[#This Row],[Date]])</f>
        <v>2025</v>
      </c>
      <c r="D113" s="133">
        <f t="shared" si="169"/>
        <v>45839</v>
      </c>
      <c r="E113" s="132">
        <f>DAY(EOMONTH(RD[[#This Row],[Date]],0))</f>
        <v>31</v>
      </c>
      <c r="F113" s="146">
        <v>0.25763888888888886</v>
      </c>
      <c r="G113" s="156">
        <v>0.79166666666666663</v>
      </c>
      <c r="H113" s="121">
        <v>6899.2</v>
      </c>
      <c r="I113" s="257">
        <v>7077.7</v>
      </c>
      <c r="J113" s="121">
        <v>6741.9</v>
      </c>
      <c r="K113" s="121">
        <v>6679.9</v>
      </c>
      <c r="L113" s="121">
        <v>6888.8</v>
      </c>
      <c r="M113" s="121">
        <v>7015.3</v>
      </c>
      <c r="N113" s="121">
        <v>6803.5</v>
      </c>
      <c r="O113" s="121">
        <v>7292.5</v>
      </c>
      <c r="P113" s="121">
        <v>6818.3</v>
      </c>
      <c r="Q113" s="121">
        <v>6838.4</v>
      </c>
      <c r="R113" s="121">
        <v>6910.9</v>
      </c>
      <c r="S113" s="255">
        <v>6922.4</v>
      </c>
      <c r="T113" s="121">
        <v>7093.7</v>
      </c>
      <c r="U113" s="121">
        <v>6965.5</v>
      </c>
      <c r="V113" s="121">
        <v>7162.9</v>
      </c>
      <c r="W113" s="121">
        <v>6871.5</v>
      </c>
      <c r="X113" s="283">
        <v>9649.9</v>
      </c>
      <c r="Y113" s="192">
        <v>10555.4</v>
      </c>
      <c r="Z113" s="192">
        <v>9407.7000000000007</v>
      </c>
      <c r="AA113" s="192">
        <v>9738.4</v>
      </c>
      <c r="AB113" s="283">
        <v>10427.299999999999</v>
      </c>
      <c r="AC113" s="192">
        <v>6725.7</v>
      </c>
      <c r="AD113" s="192">
        <v>9814.4</v>
      </c>
      <c r="AE113" s="192">
        <v>10026.799999999999</v>
      </c>
      <c r="AF113" s="283">
        <v>9743.4</v>
      </c>
      <c r="AG113" s="192">
        <v>9736</v>
      </c>
      <c r="AH113" s="192">
        <v>9702.1</v>
      </c>
      <c r="AI113" s="283">
        <v>9822.1</v>
      </c>
      <c r="AJ113" s="136">
        <v>9179.2999999999993</v>
      </c>
      <c r="AK113" s="136">
        <v>9382.7999999999993</v>
      </c>
      <c r="AL113" s="136">
        <v>9314.2000000000007</v>
      </c>
      <c r="AM113" s="136">
        <v>9319.2999999999993</v>
      </c>
      <c r="AN113" s="136">
        <v>9383</v>
      </c>
      <c r="AO113" s="136">
        <v>9582.9</v>
      </c>
      <c r="AP113" s="136">
        <v>9535.7000000000007</v>
      </c>
      <c r="AQ113" s="136">
        <v>9447.5</v>
      </c>
      <c r="AR113" s="136">
        <v>7493.8</v>
      </c>
      <c r="AS113" s="136">
        <v>7540.4</v>
      </c>
      <c r="AT113" s="136">
        <v>7563.4</v>
      </c>
      <c r="AU113" s="136">
        <v>7365.6</v>
      </c>
      <c r="AV113" s="136">
        <v>7604.7</v>
      </c>
      <c r="AW113" s="136">
        <v>7535.6</v>
      </c>
      <c r="AX113" s="136">
        <v>10584.6</v>
      </c>
      <c r="AY113" s="136">
        <v>11415.6</v>
      </c>
      <c r="AZ113" s="136">
        <v>8736.7000000000007</v>
      </c>
      <c r="BA113" s="136">
        <v>10602.4</v>
      </c>
      <c r="BB113" s="136">
        <v>9062</v>
      </c>
      <c r="BC113" s="136">
        <v>8740</v>
      </c>
      <c r="BD113" s="136">
        <v>9383</v>
      </c>
      <c r="BE113" s="136">
        <v>10099.4</v>
      </c>
      <c r="BF113" s="136">
        <v>10642.7</v>
      </c>
      <c r="BG113" s="136">
        <v>10689</v>
      </c>
      <c r="BH113" s="136">
        <v>10500.5</v>
      </c>
      <c r="BI113" s="136">
        <v>10737.7</v>
      </c>
      <c r="BJ113" s="136">
        <v>7208</v>
      </c>
      <c r="BK113" s="136">
        <v>5960</v>
      </c>
      <c r="BL113" s="136">
        <v>7019</v>
      </c>
      <c r="BM113" s="136">
        <v>6967</v>
      </c>
      <c r="BN113" s="136">
        <v>7564.4</v>
      </c>
      <c r="BO113" s="136">
        <v>7322.7</v>
      </c>
      <c r="BP113" s="136">
        <v>7826.3</v>
      </c>
      <c r="BQ113" s="136">
        <v>7746.6</v>
      </c>
      <c r="BR113" s="136">
        <v>8401</v>
      </c>
      <c r="BS113" s="136">
        <v>8659</v>
      </c>
      <c r="BT113" s="136">
        <v>8767</v>
      </c>
      <c r="BU113" s="136">
        <v>8985</v>
      </c>
      <c r="BV113" s="192">
        <v>7203.1</v>
      </c>
      <c r="BW113" s="192">
        <v>7058.9</v>
      </c>
      <c r="BX113" s="192">
        <v>6478.2</v>
      </c>
      <c r="BY113" s="192">
        <v>7046.9</v>
      </c>
      <c r="BZ113" s="136">
        <v>4393.8</v>
      </c>
      <c r="CA113" s="136">
        <v>1022.5</v>
      </c>
      <c r="CB113" s="136">
        <v>6955.5</v>
      </c>
      <c r="CC113" s="136">
        <v>7435.8</v>
      </c>
      <c r="CD113" s="195">
        <v>4.9646096999999898</v>
      </c>
      <c r="CE113" s="59">
        <v>6.122792433333335</v>
      </c>
      <c r="CF113" s="195">
        <v>4.819273066666673</v>
      </c>
      <c r="CG113" s="195">
        <v>6.3093157833333295</v>
      </c>
      <c r="CH113" s="195">
        <v>0.69999821666666673</v>
      </c>
      <c r="CI113" s="195">
        <v>0.87928803333333372</v>
      </c>
      <c r="CJ113" s="59">
        <v>0.99279864999999967</v>
      </c>
      <c r="CK113" s="59">
        <v>0.90710441666666697</v>
      </c>
      <c r="CL113" s="195">
        <v>28.475261824324356</v>
      </c>
      <c r="CM113" s="195">
        <v>28.471908783783782</v>
      </c>
      <c r="CN113" s="195">
        <v>42.302955236486468</v>
      </c>
      <c r="CO113" s="195">
        <v>40.337500844594572</v>
      </c>
      <c r="CP113" s="195">
        <v>79.971494932432648</v>
      </c>
      <c r="CQ113" s="195">
        <v>78.782804054053997</v>
      </c>
      <c r="CR113" s="195">
        <v>0</v>
      </c>
      <c r="CS113" s="59">
        <v>0</v>
      </c>
      <c r="CT113" s="195">
        <v>1.1260869932432436</v>
      </c>
      <c r="CU113" s="195">
        <v>1.2533412162162179</v>
      </c>
      <c r="CV113" s="195">
        <v>2.871</v>
      </c>
      <c r="CW113" s="247">
        <v>2.988</v>
      </c>
      <c r="CX113" s="193">
        <f>IFERROR(AVERAGEIF(RD[[#This Row],[IS1POA1 (KWh/m2)]:[IS7POA2 (KWh/m2)]],"&lt;&gt;0",RD[[#This Row],[IS1POA1 (KWh/m2)]:[IS7POA2 (KWh/m2)]]),"")</f>
        <v>5.543701066666662</v>
      </c>
      <c r="CY113" s="193">
        <f>IFERROR(AVERAGEIF(RD[[#This Row],[IS1GHI1 (KWh/m2)]:[IS7GHI2 (KWh/m2)]],"&lt;&gt;0",RD[[#This Row],[IS1GHI1 (KWh/m2)]:[IS7GHI2 (KWh/m2)]]),"")</f>
        <v>5.5642944250000017</v>
      </c>
      <c r="CZ113" s="193">
        <f>IFERROR(AVERAGEIF(RD[[#This Row],[IS1POA_BS1 (KWh/m2)]:[IS7POA_BS2 (KWh/m2)]],"&lt;&gt;0",RD[[#This Row],[IS1POA_BS1 (KWh/m2)]:[IS7POA_BS2 (KWh/m2)]]),"")</f>
        <v>0.78964312500000022</v>
      </c>
      <c r="DA113" s="193">
        <f>IFERROR(AVERAGEIF(RD[[#This Row],[IS1GHI_BS1 (KWh/m2)]:[IS1GHI_BS1 (KWh/m2)2]],"&lt;&gt;0",RD[[#This Row],[IS1GHI_BS1 (KWh/m2)]:[IS1GHI_BS1 (KWh/m2)2]]),"")</f>
        <v>0.94995153333333326</v>
      </c>
      <c r="DB113" s="193">
        <f>IFERROR(AVERAGEIF(RD[[#This Row],[IS1AT1 (°C)]:[IS7AT2 (°C)]],"&lt;&gt;0",RD[[#This Row],[IS1AT1 (°C)]:[IS7AT2 (°C)]]),"")</f>
        <v>28.473585304054069</v>
      </c>
      <c r="DC113" s="193">
        <f>IFERROR(AVERAGEIF(RD[[#This Row],[IS1MT1 (°C)]:[IS7MT2 (°C)]],"&lt;&gt;0",RD[[#This Row],[IS1MT1 (°C)]:[IS7MT2 (°C)]]),"")</f>
        <v>41.32022804054052</v>
      </c>
      <c r="DD113" s="193">
        <f>IFERROR(AVERAGEIF(RD[[#This Row],[IS1RH1 (%)]:[IS7RH2 (%)]],"&lt;&gt;0",RD[[#This Row],[IS1RH1 (%)]:[IS7RH2 (%)]]),"")</f>
        <v>79.377149493243323</v>
      </c>
      <c r="DE113" s="193" t="str">
        <f>IFERROR(AVERAGEIF(RD[[#This Row],[IS1Rain1 (mm)]:[IS7Rain2 (mm)]],"&lt;&gt;0",RD[[#This Row],[IS1Rain1 (mm)]:[IS7Rain2 (mm)]]),"")</f>
        <v/>
      </c>
      <c r="DF113" s="193">
        <f>IFERROR(AVERAGEIF(RD[[#This Row],[WS_Solar1_Avg (m/s)]:[IS7_WS_Solar1_Avg (m/s)]],"&lt;&gt;0",RD[[#This Row],[WS_Solar1_Avg (m/s)]:[IS7_WS_Solar1_Avg (m/s)]]),"")</f>
        <v>1.1897141047297306</v>
      </c>
      <c r="DG113" s="193">
        <f>IFERROR(AVERAGEIF(RD[[#This Row],[WS_Solar1_Max (m/s)]:[IS7_WS_Solar1_Max (m/s)]],"&lt;&gt;0",RD[[#This Row],[WS_Solar1_Max (m/s)]:[IS7_WS_Solar1_Max (m/s)]]),"")</f>
        <v>2.9295</v>
      </c>
      <c r="DH113" s="193">
        <f>SUM(RD[[#This Row],[IS1Inv1M1]:[IS4Inv4M2]])</f>
        <v>226331.59999999998</v>
      </c>
      <c r="DI113" s="194">
        <f>SUM(RD[[#This Row],[IS7Inv1M1]]+RD[[#This Row],[IS7Inv2M1]])</f>
        <v>15034.2</v>
      </c>
      <c r="DJ113" s="193">
        <f>SUM(RD[[#This Row],[IS5Inv1M1]:[IS5Inv2M2]])</f>
        <v>37195.599999999999</v>
      </c>
      <c r="DK113" s="193">
        <f>SUM(RD[[#This Row],[IS8Inv1M1]:[IS9Inv2M2]])</f>
        <v>71408.599999999991</v>
      </c>
      <c r="DL113" s="60">
        <f>SUM(RD[[#This Row],[IS6Inv1M1]:[IS6Inv2M2]])</f>
        <v>37949.100000000006</v>
      </c>
      <c r="DM113" s="275">
        <f>SUM(RD[[#This Row],[IS10Inv1M1]:[IS11Inv1M4]],RD[[#This Row],[IS14Inv1M1]:[IS14Inv2M4]])</f>
        <v>154602.99999999997</v>
      </c>
      <c r="DN113" s="275">
        <f>SUM(RD[[#This Row],[IS12Inv1M1]:[IS12Inv1M4]])</f>
        <v>30460</v>
      </c>
      <c r="DO113" s="275">
        <f>SUM(RD[[#This Row],[IS13Inv1M1]:[IS13Inv2M2]])</f>
        <v>34812</v>
      </c>
      <c r="DP113" s="193">
        <f>SUM(RD[[#This Row],[O2R15]:[O2R26]])</f>
        <v>607794.1</v>
      </c>
      <c r="DQ113" s="158">
        <v>45910</v>
      </c>
      <c r="DR113" s="162">
        <v>231.1</v>
      </c>
      <c r="DS113" s="158">
        <v>40166.300000000003</v>
      </c>
      <c r="DT113" s="158">
        <v>243</v>
      </c>
      <c r="DU113" s="162">
        <v>47561.4</v>
      </c>
      <c r="DV113" s="162">
        <v>456.8</v>
      </c>
      <c r="DW113" s="158">
        <v>11005.1</v>
      </c>
      <c r="DX113" s="162">
        <v>58.3</v>
      </c>
      <c r="DY113" s="162">
        <v>4910.8</v>
      </c>
      <c r="DZ113" s="162">
        <v>26.2</v>
      </c>
      <c r="EA113" s="134">
        <v>110.2</v>
      </c>
      <c r="EB113" s="230">
        <v>153830572</v>
      </c>
      <c r="EC113" s="229">
        <v>1089608.4480000001</v>
      </c>
      <c r="ED113" s="230">
        <v>1307</v>
      </c>
      <c r="EE113" s="230">
        <v>148017</v>
      </c>
      <c r="EF113" s="158">
        <v>213270.9</v>
      </c>
      <c r="EG113" s="158">
        <v>2087.5</v>
      </c>
      <c r="EH113" s="140">
        <f>IF((RD[[#This Row],[33 kV_F3_Ex
Incomer1]]-DQ112)*1000&lt;0,0,(RD[[#This Row],[33 kV_F3_Ex
Incomer1]]-DQ112)*1000)</f>
        <v>114699.99999999709</v>
      </c>
      <c r="EI113" s="140">
        <f>IF((RD[[#This Row],[34 kV_F3_Im
Incomer1]]-DR112)*1000&lt;0,0,(RD[[#This Row],[34 kV_F3_Im
Incomer1]]-DR112)*1000)</f>
        <v>299.99999999998295</v>
      </c>
      <c r="EJ113" s="140">
        <f>IF((RD[[#This Row],[33 kV_F4_Ex
Incomer2]]-DS112)*1000&lt;0,0,(RD[[#This Row],[33 kV_F4_Ex
Incomer2]]-DS112)*1000)</f>
        <v>105200.00000000437</v>
      </c>
      <c r="EK113" s="140">
        <f>IF((RD[[#This Row],[34 kV_F4_Im
Incomer2]]-DT112)*1000&lt;0,0,(RD[[#This Row],[34 kV_F4_Im
Incomer2]]-DT112)*1000)</f>
        <v>300.00000000001137</v>
      </c>
      <c r="EL113" s="140">
        <f>IF((RD[[#This Row],[33 kV_F5_Ex
Incomer3]]-DU112)*1000&lt;0,0,(RD[[#This Row],[33 kV_F5_Ex
Incomer3]]-DU112)*1000)</f>
        <v>159599.99999999854</v>
      </c>
      <c r="EM113" s="140">
        <f>IF((RD[[#This Row],[34 kV_F5_Im
Incomer3]]-DV112)*1000&lt;0,0,(RD[[#This Row],[34 kV_F5_Im
Incomer3]]-DV112)*1000)</f>
        <v>600.00000000002274</v>
      </c>
      <c r="EN113" s="140">
        <f>IF((RD[[#This Row],[33 kV_F6_Ex
Incomer4]]-DW112)*1000&lt;0,0,(RD[[#This Row],[33 kV_F6_Ex
Incomer4]]-DW112)*1000)</f>
        <v>47100.000000000364</v>
      </c>
      <c r="EO113" s="140">
        <f t="shared" si="166"/>
        <v>300.00000000001137</v>
      </c>
      <c r="EP113" s="140">
        <f>IF((RD[[#This Row],[33 kV_F7_Ex
Incomer5]]-DY112)*1000&lt;0,0,(RD[[#This Row],[33 kV_F7_Ex
Incomer5]]-DY112)*1000)</f>
        <v>136300.00000000017</v>
      </c>
      <c r="EQ113" s="140">
        <f>IF((RD[[#This Row],[33 kV_F7_Im
Incomer5]]-DZ112)*1000&lt;0,0,(RD[[#This Row],[33 kV_F7_Im
Incomer5]]-DZ112)*1000)</f>
        <v>599.99999999999784</v>
      </c>
      <c r="ER113" s="140">
        <f>IF((RD[[#This Row],[33 kV_Aux Trafo]]-EA112)*1000&lt;0,0,(RD[[#This Row],[33 kV_Aux Trafo]]-EA112)*1000)</f>
        <v>310.00000000000227</v>
      </c>
      <c r="ES113" s="152">
        <f>IF((RD[[#This Row],[33kV_OG1_Ex_]]-EB112)*1&lt;0,0,(RD[[#This Row],[33kV_OG1_Ex_]]-EB112)*1)</f>
        <v>599819</v>
      </c>
      <c r="ET113" s="140">
        <f>IF((RD[[#This Row],[33kV_OG1_Im]]-EC112)*1&lt;0,0,(RD[[#This Row],[33kV_OG1_Im]]-EC112)*1)</f>
        <v>2597.6319999999832</v>
      </c>
      <c r="EU113" s="140">
        <f>IF((RD[[#This Row],[132kV_TX1_EX]]-ED112)*720&lt;=0,"",(RD[[#This Row],[132kV_TX1_EX]]-ED112)*720)</f>
        <v>2160</v>
      </c>
      <c r="EV113" s="140">
        <f>IF((RD[[#This Row],[132 kV_Tx1_Im]]-EE112)*720&lt;=0,0,(RD[[#This Row],[132 kV_Tx1_Im]]-EE112)*720)</f>
        <v>430560</v>
      </c>
      <c r="EW113" s="140">
        <f>IF((RD[[#This Row],[132kV_L1_Ex]]-EF112)*720&lt;=0,0,(RD[[#This Row],[132kV_L1_Ex]]-EF112)*720)</f>
        <v>597960</v>
      </c>
      <c r="EX113" s="140">
        <f>IF((RD[[#This Row],[132kV_L1_Im]]-EG112)*720&lt;=0,0,(RD[[#This Row],[132kV_L1_Im]]-EG112)*720)</f>
        <v>3168.0000000000655</v>
      </c>
      <c r="EY113" s="316">
        <f>IFERROR(RD[[#This Row],[33kV_OG1_Ex (MWh)]]+RD[[#This Row],[33kV_OG1_Im (MWh)]],"")</f>
        <v>602416.63199999998</v>
      </c>
      <c r="EZ113" s="142">
        <f>RD[[#This Row],[33kV_OG1_Ex (MWh)]]-RD[[#This Row],[33kV_OG1_Im (MWh)]]</f>
        <v>597221.36800000002</v>
      </c>
      <c r="FA113" s="142">
        <f>IFERROR(RD[[#This Row],[132kV_L1_Ex(MWh)]]-RD[[#This Row],[132kV_L1_Im(MWh)]],"")</f>
        <v>594791.99999999988</v>
      </c>
      <c r="FB113" s="318">
        <f>IFERROR(RD[[#This Row],[33kV_Ex(MWh)]]/RD[[#This Row],[Inv Total Gneration (MWh)]]-1,"")</f>
        <v>-8.8475159597632969E-3</v>
      </c>
      <c r="FC113" s="319">
        <f>IFERROR((RD[[#This Row],[Sunset Time (POA&lt;20 W/m2)]]-RD[[#This Row],[Sunrise Time (POA&gt;20 W/m2)]])*24,0)</f>
        <v>12.816666666666666</v>
      </c>
      <c r="FD113" s="233">
        <v>128.08000000000001</v>
      </c>
      <c r="FE113" t="s">
        <v>294</v>
      </c>
      <c r="FG113" s="138" t="str">
        <f>IFERROR(RD[[#This Row],[E_AC (WPR)]]/RD[[#This Row],[E_DC (WPR)]],"")</f>
        <v/>
      </c>
    </row>
    <row r="114" spans="1:163">
      <c r="A114" s="130">
        <f t="shared" si="167"/>
        <v>45854</v>
      </c>
      <c r="B114" s="132">
        <f>YEAR(RD[[#This Row],[Date]])+IF(MONTH(RD[[#This Row],[Date]])&gt;=4,1,0)</f>
        <v>2026</v>
      </c>
      <c r="C114" s="132">
        <f>YEAR(RD[[#This Row],[Date]])</f>
        <v>2025</v>
      </c>
      <c r="D114" s="133">
        <f t="shared" si="169"/>
        <v>45839</v>
      </c>
      <c r="E114" s="132">
        <f>DAY(EOMONTH(RD[[#This Row],[Date]],0))</f>
        <v>31</v>
      </c>
      <c r="F114" s="146">
        <v>0.25972222222222224</v>
      </c>
      <c r="G114" s="156">
        <v>0.78194444444444444</v>
      </c>
      <c r="H114" s="121">
        <v>7181.6</v>
      </c>
      <c r="I114" s="257">
        <v>7255.9</v>
      </c>
      <c r="J114" s="121">
        <v>6863.1</v>
      </c>
      <c r="K114" s="121">
        <v>6855</v>
      </c>
      <c r="L114" s="121">
        <v>7036.4</v>
      </c>
      <c r="M114" s="121">
        <v>7211.2</v>
      </c>
      <c r="N114" s="121">
        <v>7018.6</v>
      </c>
      <c r="O114" s="121">
        <v>7598.6</v>
      </c>
      <c r="P114" s="121">
        <v>7089</v>
      </c>
      <c r="Q114" s="121">
        <v>7011</v>
      </c>
      <c r="R114" s="121">
        <v>7170.7</v>
      </c>
      <c r="S114" s="255">
        <v>7250.4</v>
      </c>
      <c r="T114" s="121">
        <v>7271.2</v>
      </c>
      <c r="U114" s="121">
        <v>7129</v>
      </c>
      <c r="V114" s="121">
        <v>7348.6</v>
      </c>
      <c r="W114" s="121">
        <v>7109.6</v>
      </c>
      <c r="X114" s="283">
        <v>9911.7999999999993</v>
      </c>
      <c r="Y114" s="192">
        <v>10887.6</v>
      </c>
      <c r="Z114" s="192">
        <v>9656.4</v>
      </c>
      <c r="AA114" s="192">
        <v>9979</v>
      </c>
      <c r="AB114" s="283">
        <v>10462.5</v>
      </c>
      <c r="AC114" s="192">
        <v>6604.6</v>
      </c>
      <c r="AD114" s="192">
        <v>9761.7999999999993</v>
      </c>
      <c r="AE114" s="192">
        <v>9920.4</v>
      </c>
      <c r="AF114" s="283">
        <v>9725.2999999999993</v>
      </c>
      <c r="AG114" s="192">
        <v>9690</v>
      </c>
      <c r="AH114" s="192">
        <v>9700.6</v>
      </c>
      <c r="AI114" s="283">
        <v>9778.7999999999993</v>
      </c>
      <c r="AJ114" s="136">
        <v>7685.4</v>
      </c>
      <c r="AK114" s="136">
        <v>7900.8</v>
      </c>
      <c r="AL114" s="136">
        <v>7857.5</v>
      </c>
      <c r="AM114" s="136">
        <v>7977.1</v>
      </c>
      <c r="AN114" s="136">
        <v>7887.8</v>
      </c>
      <c r="AO114" s="136">
        <v>8029.1</v>
      </c>
      <c r="AP114" s="136">
        <v>7988.3</v>
      </c>
      <c r="AQ114" s="136">
        <v>7914</v>
      </c>
      <c r="AR114" s="136">
        <v>6336.4</v>
      </c>
      <c r="AS114" s="136">
        <v>6413.5</v>
      </c>
      <c r="AT114" s="136">
        <v>6434.7</v>
      </c>
      <c r="AU114" s="136">
        <v>6389.1</v>
      </c>
      <c r="AV114" s="136">
        <v>6534.2</v>
      </c>
      <c r="AW114" s="136">
        <v>6457.1</v>
      </c>
      <c r="AX114" s="136">
        <v>8899.9</v>
      </c>
      <c r="AY114" s="136">
        <v>9684.6</v>
      </c>
      <c r="AZ114" s="136">
        <v>7079.9</v>
      </c>
      <c r="BA114" s="136">
        <v>8672.2999999999993</v>
      </c>
      <c r="BB114" s="136">
        <v>8552</v>
      </c>
      <c r="BC114" s="136">
        <v>8341</v>
      </c>
      <c r="BD114" s="136">
        <v>9022</v>
      </c>
      <c r="BE114" s="136">
        <v>9885</v>
      </c>
      <c r="BF114" s="136">
        <v>10557</v>
      </c>
      <c r="BG114" s="136">
        <v>10779.8</v>
      </c>
      <c r="BH114" s="136">
        <v>10639.7</v>
      </c>
      <c r="BI114" s="136">
        <v>10770</v>
      </c>
      <c r="BJ114" s="136">
        <v>7209</v>
      </c>
      <c r="BK114" s="136">
        <v>5814.4</v>
      </c>
      <c r="BL114" s="136">
        <v>6889</v>
      </c>
      <c r="BM114" s="136">
        <v>6843</v>
      </c>
      <c r="BN114" s="136">
        <v>7481</v>
      </c>
      <c r="BO114" s="136">
        <v>7198</v>
      </c>
      <c r="BP114" s="136">
        <v>7686</v>
      </c>
      <c r="BQ114" s="136">
        <v>7680</v>
      </c>
      <c r="BR114" s="136">
        <v>7931</v>
      </c>
      <c r="BS114" s="136">
        <v>8244</v>
      </c>
      <c r="BT114" s="136">
        <v>8433</v>
      </c>
      <c r="BU114" s="136">
        <v>8556</v>
      </c>
      <c r="BV114" s="192">
        <v>7017</v>
      </c>
      <c r="BW114" s="192">
        <v>6910</v>
      </c>
      <c r="BX114" s="192">
        <v>6219</v>
      </c>
      <c r="BY114" s="192">
        <v>6921</v>
      </c>
      <c r="BZ114" s="136">
        <v>5677</v>
      </c>
      <c r="CA114" s="136">
        <v>1010</v>
      </c>
      <c r="CB114" s="136">
        <v>6604</v>
      </c>
      <c r="CC114" s="136">
        <v>7043</v>
      </c>
      <c r="CD114" s="195">
        <v>5.2044666666800001</v>
      </c>
      <c r="CE114" s="59">
        <v>5.0491243166666662</v>
      </c>
      <c r="CF114" s="195">
        <v>4.8474631499999949</v>
      </c>
      <c r="CG114" s="195">
        <v>5.1254392000000131</v>
      </c>
      <c r="CH114" s="195">
        <v>0.68296101666666642</v>
      </c>
      <c r="CI114" s="195">
        <v>0.68975085000000036</v>
      </c>
      <c r="CJ114" s="59">
        <v>0.99908591666666702</v>
      </c>
      <c r="CK114" s="59">
        <v>0.72924873333333351</v>
      </c>
      <c r="CL114" s="195">
        <v>28.129315654405534</v>
      </c>
      <c r="CM114" s="195">
        <v>28.101248930710003</v>
      </c>
      <c r="CN114" s="195">
        <v>41.952324208725372</v>
      </c>
      <c r="CO114" s="195">
        <v>39.06143370402053</v>
      </c>
      <c r="CP114" s="195">
        <v>82.515757057313991</v>
      </c>
      <c r="CQ114" s="195">
        <v>81.611873396065064</v>
      </c>
      <c r="CR114" s="195">
        <v>7.1856287425149823E-2</v>
      </c>
      <c r="CS114" s="59">
        <v>4.1060735671514088E-2</v>
      </c>
      <c r="CT114" s="195">
        <v>1.249562874251497</v>
      </c>
      <c r="CU114" s="195">
        <v>1.3058828058169369</v>
      </c>
      <c r="CV114" s="195">
        <v>3.165</v>
      </c>
      <c r="CW114" s="247">
        <v>3.4319999999999999</v>
      </c>
      <c r="CX114" s="193">
        <f>IFERROR(AVERAGEIF(RD[[#This Row],[IS1POA1 (KWh/m2)]:[IS7POA2 (KWh/m2)]],"&lt;&gt;0",RD[[#This Row],[IS1POA1 (KWh/m2)]:[IS7POA2 (KWh/m2)]]),"")</f>
        <v>5.1267954916733327</v>
      </c>
      <c r="CY114" s="193">
        <f>IFERROR(AVERAGEIF(RD[[#This Row],[IS1GHI1 (KWh/m2)]:[IS7GHI2 (KWh/m2)]],"&lt;&gt;0",RD[[#This Row],[IS1GHI1 (KWh/m2)]:[IS7GHI2 (KWh/m2)]]),"")</f>
        <v>4.9864511750000045</v>
      </c>
      <c r="CZ114" s="193">
        <f>IFERROR(AVERAGEIF(RD[[#This Row],[IS1POA_BS1 (KWh/m2)]:[IS7POA_BS2 (KWh/m2)]],"&lt;&gt;0",RD[[#This Row],[IS1POA_BS1 (KWh/m2)]:[IS7POA_BS2 (KWh/m2)]]),"")</f>
        <v>0.68635593333333333</v>
      </c>
      <c r="DA114" s="193">
        <f>IFERROR(AVERAGEIF(RD[[#This Row],[IS1GHI_BS1 (KWh/m2)]:[IS1GHI_BS1 (KWh/m2)2]],"&lt;&gt;0",RD[[#This Row],[IS1GHI_BS1 (KWh/m2)]:[IS1GHI_BS1 (KWh/m2)2]]),"")</f>
        <v>0.86416732500000026</v>
      </c>
      <c r="DB114" s="193">
        <f>IFERROR(AVERAGEIF(RD[[#This Row],[IS1AT1 (°C)]:[IS7AT2 (°C)]],"&lt;&gt;0",RD[[#This Row],[IS1AT1 (°C)]:[IS7AT2 (°C)]]),"")</f>
        <v>28.115282292557769</v>
      </c>
      <c r="DC114" s="193">
        <f>IFERROR(AVERAGEIF(RD[[#This Row],[IS1MT1 (°C)]:[IS7MT2 (°C)]],"&lt;&gt;0",RD[[#This Row],[IS1MT1 (°C)]:[IS7MT2 (°C)]]),"")</f>
        <v>40.506878956372951</v>
      </c>
      <c r="DD114" s="193">
        <f>IFERROR(AVERAGEIF(RD[[#This Row],[IS1RH1 (%)]:[IS7RH2 (%)]],"&lt;&gt;0",RD[[#This Row],[IS1RH1 (%)]:[IS7RH2 (%)]]),"")</f>
        <v>82.063815226689528</v>
      </c>
      <c r="DE114" s="193">
        <f>IFERROR(AVERAGEIF(RD[[#This Row],[IS1Rain1 (mm)]:[IS7Rain2 (mm)]],"&lt;&gt;0",RD[[#This Row],[IS1Rain1 (mm)]:[IS7Rain2 (mm)]]),"")</f>
        <v>5.6458511548331952E-2</v>
      </c>
      <c r="DF114" s="193">
        <f>IFERROR(AVERAGEIF(RD[[#This Row],[WS_Solar1_Avg (m/s)]:[IS7_WS_Solar1_Avg (m/s)]],"&lt;&gt;0",RD[[#This Row],[WS_Solar1_Avg (m/s)]:[IS7_WS_Solar1_Avg (m/s)]]),"")</f>
        <v>1.2777228400342171</v>
      </c>
      <c r="DG114" s="193">
        <f>IFERROR(AVERAGEIF(RD[[#This Row],[WS_Solar1_Max (m/s)]:[IS7_WS_Solar1_Max (m/s)]],"&lt;&gt;0",RD[[#This Row],[WS_Solar1_Max (m/s)]:[IS7_WS_Solar1_Max (m/s)]]),"")</f>
        <v>3.2984999999999998</v>
      </c>
      <c r="DH114" s="193">
        <f>SUM(RD[[#This Row],[IS1Inv1M1]:[IS4Inv4M2]])</f>
        <v>230478.69999999995</v>
      </c>
      <c r="DI114" s="194">
        <f>SUM(RD[[#This Row],[IS7Inv1M1]]+RD[[#This Row],[IS7Inv2M1]])</f>
        <v>12749.9</v>
      </c>
      <c r="DJ114" s="193">
        <f>SUM(RD[[#This Row],[IS5Inv1M1]:[IS5Inv2M2]])</f>
        <v>31420.800000000003</v>
      </c>
      <c r="DK114" s="193">
        <f>SUM(RD[[#This Row],[IS8Inv1M1]:[IS9Inv2M2]])</f>
        <v>60151.8</v>
      </c>
      <c r="DL114" s="60">
        <f>SUM(RD[[#This Row],[IS6Inv1M1]:[IS6Inv2M2]])</f>
        <v>31819.200000000001</v>
      </c>
      <c r="DM114" s="275">
        <f>SUM(RD[[#This Row],[IS10Inv1M1]:[IS11Inv1M4]],RD[[#This Row],[IS14Inv1M1]:[IS14Inv2M4]])</f>
        <v>152702.9</v>
      </c>
      <c r="DN114" s="275">
        <f>SUM(RD[[#This Row],[IS12Inv1M1]:[IS12Inv1M4]])</f>
        <v>30045</v>
      </c>
      <c r="DO114" s="275">
        <f>SUM(RD[[#This Row],[IS13Inv1M1]:[IS13Inv2M2]])</f>
        <v>33164</v>
      </c>
      <c r="DP114" s="193">
        <f>SUM(RD[[#This Row],[O2R15]:[O2R26]])</f>
        <v>582532.29999999993</v>
      </c>
      <c r="DQ114" s="158">
        <v>46025.3</v>
      </c>
      <c r="DR114" s="162">
        <v>231.5</v>
      </c>
      <c r="DS114" s="158">
        <v>40274.5</v>
      </c>
      <c r="DT114" s="158">
        <v>243.3</v>
      </c>
      <c r="DU114" s="162">
        <v>47696.1</v>
      </c>
      <c r="DV114" s="162">
        <v>457.4</v>
      </c>
      <c r="DW114" s="158">
        <v>11051.5</v>
      </c>
      <c r="DX114" s="162">
        <v>58.5</v>
      </c>
      <c r="DY114" s="162">
        <v>5043.8</v>
      </c>
      <c r="DZ114" s="162">
        <v>26.7</v>
      </c>
      <c r="EA114" s="134">
        <v>110.5</v>
      </c>
      <c r="EB114" s="230">
        <v>154404290</v>
      </c>
      <c r="EC114" s="229">
        <v>1091844.608</v>
      </c>
      <c r="ED114" s="230">
        <v>1310</v>
      </c>
      <c r="EE114" s="230">
        <v>148588</v>
      </c>
      <c r="EF114" s="158">
        <v>214065.1</v>
      </c>
      <c r="EG114" s="158">
        <v>2091.3000000000002</v>
      </c>
      <c r="EH114" s="140">
        <f>IF((RD[[#This Row],[33 kV_F3_Ex
Incomer1]]-DQ113)*1000&lt;0,0,(RD[[#This Row],[33 kV_F3_Ex
Incomer1]]-DQ113)*1000)</f>
        <v>115300.00000000291</v>
      </c>
      <c r="EI114" s="140">
        <f>IF((RD[[#This Row],[34 kV_F3_Im
Incomer1]]-DR113)*1000&lt;0,0,(RD[[#This Row],[34 kV_F3_Im
Incomer1]]-DR113)*1000)</f>
        <v>400.00000000000568</v>
      </c>
      <c r="EJ114" s="140">
        <f>IF((RD[[#This Row],[33 kV_F4_Ex
Incomer2]]-DS113)*1000&lt;0,0,(RD[[#This Row],[33 kV_F4_Ex
Incomer2]]-DS113)*1000)</f>
        <v>108199.99999999709</v>
      </c>
      <c r="EK114" s="140">
        <f>IF((RD[[#This Row],[34 kV_F4_Im
Incomer2]]-DT113)*1000&lt;0,0,(RD[[#This Row],[34 kV_F4_Im
Incomer2]]-DT113)*1000)</f>
        <v>300.00000000001137</v>
      </c>
      <c r="EL114" s="140">
        <f>IF((RD[[#This Row],[33 kV_F5_Ex
Incomer3]]-DU113)*1000&lt;0,0,(RD[[#This Row],[33 kV_F5_Ex
Incomer3]]-DU113)*1000)</f>
        <v>134699.99999999709</v>
      </c>
      <c r="EM114" s="140">
        <f>IF((RD[[#This Row],[34 kV_F5_Im
Incomer3]]-DV113)*1000&lt;0,0,(RD[[#This Row],[34 kV_F5_Im
Incomer3]]-DV113)*1000)</f>
        <v>599.99999999996589</v>
      </c>
      <c r="EN114" s="140">
        <f>IF((RD[[#This Row],[33 kV_F6_Ex
Incomer4]]-DW113)*1000&lt;0,0,(RD[[#This Row],[33 kV_F6_Ex
Incomer4]]-DW113)*1000)</f>
        <v>46399.999999999636</v>
      </c>
      <c r="EO114" s="140">
        <f t="shared" si="166"/>
        <v>300.00000000001137</v>
      </c>
      <c r="EP114" s="140">
        <f>IF((RD[[#This Row],[33 kV_F7_Ex
Incomer5]]-DY113)*1000&lt;0,0,(RD[[#This Row],[33 kV_F7_Ex
Incomer5]]-DY113)*1000)</f>
        <v>133000</v>
      </c>
      <c r="EQ114" s="140">
        <f>IF((RD[[#This Row],[33 kV_F7_Im
Incomer5]]-DZ113)*1000&lt;0,0,(RD[[#This Row],[33 kV_F7_Im
Incomer5]]-DZ113)*1000)</f>
        <v>500</v>
      </c>
      <c r="ER114" s="140">
        <f>IF((RD[[#This Row],[33 kV_Aux Trafo]]-EA113)*1000&lt;0,0,(RD[[#This Row],[33 kV_Aux Trafo]]-EA113)*1000)</f>
        <v>299.99999999999716</v>
      </c>
      <c r="ES114" s="152">
        <f>IF((RD[[#This Row],[33kV_OG1_Ex_]]-EB113)*1&lt;0,0,(RD[[#This Row],[33kV_OG1_Ex_]]-EB113)*1)</f>
        <v>573718</v>
      </c>
      <c r="ET114" s="140">
        <f>IF((RD[[#This Row],[33kV_OG1_Im]]-EC113)*1&lt;0,0,(RD[[#This Row],[33kV_OG1_Im]]-EC113)*1)</f>
        <v>2236.1599999999162</v>
      </c>
      <c r="EU114" s="140">
        <f>IF((RD[[#This Row],[132kV_TX1_EX]]-ED113)*720&lt;=0,"",(RD[[#This Row],[132kV_TX1_EX]]-ED113)*720)</f>
        <v>2160</v>
      </c>
      <c r="EV114" s="140">
        <f>IF((RD[[#This Row],[132 kV_Tx1_Im]]-EE113)*720&lt;=0,0,(RD[[#This Row],[132 kV_Tx1_Im]]-EE113)*720)</f>
        <v>411120</v>
      </c>
      <c r="EW114" s="140">
        <f>IF((RD[[#This Row],[132kV_L1_Ex]]-EF113)*720&lt;=0,0,(RD[[#This Row],[132kV_L1_Ex]]-EF113)*720)</f>
        <v>571824.00000000838</v>
      </c>
      <c r="EX114" s="140">
        <f>IF((RD[[#This Row],[132kV_L1_Im]]-EG113)*720&lt;=0,0,(RD[[#This Row],[132kV_L1_Im]]-EG113)*720)</f>
        <v>2736.000000000131</v>
      </c>
      <c r="EY114" s="316">
        <f>IFERROR(RD[[#This Row],[33kV_OG1_Ex (MWh)]]+RD[[#This Row],[33kV_OG1_Im (MWh)]],"")</f>
        <v>575954.15999999992</v>
      </c>
      <c r="EZ114" s="142">
        <f>RD[[#This Row],[33kV_OG1_Ex (MWh)]]-RD[[#This Row],[33kV_OG1_Im (MWh)]]</f>
        <v>571481.84000000008</v>
      </c>
      <c r="FA114" s="142">
        <f>IFERROR(RD[[#This Row],[132kV_L1_Ex(MWh)]]-RD[[#This Row],[132kV_L1_Im(MWh)]],"")</f>
        <v>569088.00000000827</v>
      </c>
      <c r="FB114" s="318">
        <f>IFERROR(RD[[#This Row],[33kV_Ex(MWh)]]/RD[[#This Row],[Inv Total Gneration (MWh)]]-1,"")</f>
        <v>-1.1292318039703542E-2</v>
      </c>
      <c r="FC114" s="319">
        <f>IFERROR((RD[[#This Row],[Sunset Time (POA&lt;20 W/m2)]]-RD[[#This Row],[Sunrise Time (POA&gt;20 W/m2)]])*24,0)</f>
        <v>12.533333333333331</v>
      </c>
      <c r="FD114" s="233">
        <v>128.08000000000001</v>
      </c>
      <c r="FE114" t="s">
        <v>294</v>
      </c>
      <c r="FG114" s="138" t="str">
        <f>IFERROR(RD[[#This Row],[E_AC (WPR)]]/RD[[#This Row],[E_DC (WPR)]],"")</f>
        <v/>
      </c>
    </row>
    <row r="115" spans="1:163">
      <c r="A115" s="130">
        <f t="shared" si="167"/>
        <v>45855</v>
      </c>
      <c r="B115" s="132">
        <f>YEAR(RD[[#This Row],[Date]])+IF(MONTH(RD[[#This Row],[Date]])&gt;=4,1,0)</f>
        <v>2026</v>
      </c>
      <c r="C115" s="132">
        <f>YEAR(RD[[#This Row],[Date]])</f>
        <v>2025</v>
      </c>
      <c r="D115" s="133">
        <f t="shared" si="169"/>
        <v>45839</v>
      </c>
      <c r="E115" s="132">
        <f>DAY(EOMONTH(RD[[#This Row],[Date]],0))</f>
        <v>31</v>
      </c>
      <c r="F115" s="146">
        <v>0.25972222222222224</v>
      </c>
      <c r="G115" s="156">
        <v>0.78055555555555556</v>
      </c>
      <c r="H115" s="121">
        <v>6504.1</v>
      </c>
      <c r="I115" s="257">
        <v>6510.6</v>
      </c>
      <c r="J115" s="121">
        <v>6162.9</v>
      </c>
      <c r="K115" s="121">
        <v>6270.7</v>
      </c>
      <c r="L115" s="121">
        <v>6471.4</v>
      </c>
      <c r="M115" s="121">
        <v>6586.5</v>
      </c>
      <c r="N115" s="121">
        <v>6365.3</v>
      </c>
      <c r="O115" s="121">
        <v>6912.8</v>
      </c>
      <c r="P115" s="121">
        <v>6426.7</v>
      </c>
      <c r="Q115" s="121">
        <v>6445.9</v>
      </c>
      <c r="R115" s="121">
        <v>6674.8</v>
      </c>
      <c r="S115" s="255">
        <v>6608.1</v>
      </c>
      <c r="T115" s="121">
        <v>6622.6</v>
      </c>
      <c r="U115" s="121">
        <v>6738.8</v>
      </c>
      <c r="V115" s="121">
        <v>6788.4</v>
      </c>
      <c r="W115" s="121">
        <v>6448.8</v>
      </c>
      <c r="X115" s="283">
        <v>9024.5</v>
      </c>
      <c r="Y115" s="192">
        <v>10253.799999999999</v>
      </c>
      <c r="Z115" s="192">
        <v>8782.6</v>
      </c>
      <c r="AA115" s="192">
        <v>9129.7999999999993</v>
      </c>
      <c r="AB115" s="283">
        <v>10419.299999999999</v>
      </c>
      <c r="AC115" s="192">
        <v>6553.7</v>
      </c>
      <c r="AD115" s="192">
        <v>9687.2000000000007</v>
      </c>
      <c r="AE115" s="192">
        <v>9808.7000000000007</v>
      </c>
      <c r="AF115" s="283">
        <v>9692.5</v>
      </c>
      <c r="AG115" s="192">
        <v>9573</v>
      </c>
      <c r="AH115" s="192">
        <v>9628.5</v>
      </c>
      <c r="AI115" s="283">
        <v>9693.2000000000007</v>
      </c>
      <c r="AJ115" s="136">
        <v>7021.4</v>
      </c>
      <c r="AK115" s="136">
        <v>7310.9</v>
      </c>
      <c r="AL115" s="136">
        <v>7369.1</v>
      </c>
      <c r="AM115" s="136">
        <v>7482.4</v>
      </c>
      <c r="AN115" s="136">
        <v>7241.4</v>
      </c>
      <c r="AO115" s="136">
        <v>7418.8</v>
      </c>
      <c r="AP115" s="136">
        <v>7344.4</v>
      </c>
      <c r="AQ115" s="136">
        <v>7356.2</v>
      </c>
      <c r="AR115" s="136">
        <v>5961.9</v>
      </c>
      <c r="AS115" s="136">
        <v>6048.1</v>
      </c>
      <c r="AT115" s="136">
        <v>6074.6</v>
      </c>
      <c r="AU115" s="136">
        <v>6046.3</v>
      </c>
      <c r="AV115" s="136">
        <v>6196.7</v>
      </c>
      <c r="AW115" s="136">
        <v>6098.1</v>
      </c>
      <c r="AX115" s="136">
        <v>8272</v>
      </c>
      <c r="AY115" s="136">
        <v>9296.7999999999993</v>
      </c>
      <c r="AZ115" s="136">
        <v>6789.3</v>
      </c>
      <c r="BA115" s="136">
        <v>8381.2999999999993</v>
      </c>
      <c r="BB115" s="136">
        <v>8768.7999999999993</v>
      </c>
      <c r="BC115" s="136">
        <v>8500.6</v>
      </c>
      <c r="BD115" s="136">
        <v>8747.7999999999993</v>
      </c>
      <c r="BE115" s="136">
        <v>9562.7000000000007</v>
      </c>
      <c r="BF115" s="136">
        <v>10336.4</v>
      </c>
      <c r="BG115" s="136">
        <v>10528</v>
      </c>
      <c r="BH115" s="136">
        <v>10442.1</v>
      </c>
      <c r="BI115" s="136">
        <v>10664</v>
      </c>
      <c r="BJ115" s="136">
        <v>7185</v>
      </c>
      <c r="BK115" s="136">
        <v>5804</v>
      </c>
      <c r="BL115" s="136">
        <v>6915</v>
      </c>
      <c r="BM115" s="136">
        <v>6869</v>
      </c>
      <c r="BN115" s="136">
        <v>7486.8</v>
      </c>
      <c r="BO115" s="136">
        <v>7239.1</v>
      </c>
      <c r="BP115" s="136">
        <v>7724.1</v>
      </c>
      <c r="BQ115" s="136">
        <v>7638.5</v>
      </c>
      <c r="BR115" s="136">
        <v>8116</v>
      </c>
      <c r="BS115" s="136">
        <v>8436</v>
      </c>
      <c r="BT115" s="136">
        <v>8555</v>
      </c>
      <c r="BU115" s="136">
        <v>8710</v>
      </c>
      <c r="BV115" s="192">
        <v>6989</v>
      </c>
      <c r="BW115" s="192">
        <v>6798</v>
      </c>
      <c r="BX115" s="192">
        <v>6033.4</v>
      </c>
      <c r="BY115" s="192">
        <v>7213.7</v>
      </c>
      <c r="BZ115" s="136">
        <v>5883.1</v>
      </c>
      <c r="CA115" s="136">
        <v>938.9</v>
      </c>
      <c r="CB115" s="136">
        <v>6671</v>
      </c>
      <c r="CC115" s="136">
        <v>7223.3</v>
      </c>
      <c r="CD115" s="195">
        <v>5.3710793666666676</v>
      </c>
      <c r="CE115" s="59">
        <v>4.6210559500000121</v>
      </c>
      <c r="CF115" s="195">
        <v>4.2707949166666648</v>
      </c>
      <c r="CG115" s="195">
        <v>4.6759023000000015</v>
      </c>
      <c r="CH115" s="195">
        <v>0.63358319999999946</v>
      </c>
      <c r="CI115" s="195">
        <v>0.668183683333333</v>
      </c>
      <c r="CJ115" s="59">
        <v>0.90453199999999989</v>
      </c>
      <c r="CK115" s="59">
        <v>0.67668814999999982</v>
      </c>
      <c r="CL115" s="195">
        <v>28.259560067681978</v>
      </c>
      <c r="CM115" s="195">
        <v>28.272554991539767</v>
      </c>
      <c r="CN115" s="195">
        <v>41.052975465313089</v>
      </c>
      <c r="CO115" s="195">
        <v>38.179792724196346</v>
      </c>
      <c r="CP115" s="195">
        <v>77.93447546531317</v>
      </c>
      <c r="CQ115" s="195">
        <v>77.819644670050664</v>
      </c>
      <c r="CR115" s="195">
        <v>0</v>
      </c>
      <c r="CS115" s="59">
        <v>0</v>
      </c>
      <c r="CT115" s="195">
        <v>1.2390939086294408</v>
      </c>
      <c r="CU115" s="195">
        <v>1.267939086294416</v>
      </c>
      <c r="CV115" s="195">
        <v>2.7749999999999999</v>
      </c>
      <c r="CW115" s="247">
        <v>2.706</v>
      </c>
      <c r="CX115" s="193">
        <f>IFERROR(AVERAGEIF(RD[[#This Row],[IS1POA1 (KWh/m2)]:[IS7POA2 (KWh/m2)]],"&lt;&gt;0",RD[[#This Row],[IS1POA1 (KWh/m2)]:[IS7POA2 (KWh/m2)]]),"")</f>
        <v>4.9960676583333399</v>
      </c>
      <c r="CY115" s="193">
        <f>IFERROR(AVERAGEIF(RD[[#This Row],[IS1GHI1 (KWh/m2)]:[IS7GHI2 (KWh/m2)]],"&lt;&gt;0",RD[[#This Row],[IS1GHI1 (KWh/m2)]:[IS7GHI2 (KWh/m2)]]),"")</f>
        <v>4.4733486083333336</v>
      </c>
      <c r="CZ115" s="193">
        <f>IFERROR(AVERAGEIF(RD[[#This Row],[IS1POA_BS1 (KWh/m2)]:[IS7POA_BS2 (KWh/m2)]],"&lt;&gt;0",RD[[#This Row],[IS1POA_BS1 (KWh/m2)]:[IS7POA_BS2 (KWh/m2)]]),"")</f>
        <v>0.65088344166666623</v>
      </c>
      <c r="DA115" s="193">
        <f>IFERROR(AVERAGEIF(RD[[#This Row],[IS1GHI_BS1 (KWh/m2)]:[IS1GHI_BS1 (KWh/m2)2]],"&lt;&gt;0",RD[[#This Row],[IS1GHI_BS1 (KWh/m2)]:[IS1GHI_BS1 (KWh/m2)2]]),"")</f>
        <v>0.7906100749999998</v>
      </c>
      <c r="DB115" s="193">
        <f>IFERROR(AVERAGEIF(RD[[#This Row],[IS1AT1 (°C)]:[IS7AT2 (°C)]],"&lt;&gt;0",RD[[#This Row],[IS1AT1 (°C)]:[IS7AT2 (°C)]]),"")</f>
        <v>28.266057529610872</v>
      </c>
      <c r="DC115" s="193">
        <f>IFERROR(AVERAGEIF(RD[[#This Row],[IS1MT1 (°C)]:[IS7MT2 (°C)]],"&lt;&gt;0",RD[[#This Row],[IS1MT1 (°C)]:[IS7MT2 (°C)]]),"")</f>
        <v>39.616384094754721</v>
      </c>
      <c r="DD115" s="193">
        <f>IFERROR(AVERAGEIF(RD[[#This Row],[IS1RH1 (%)]:[IS7RH2 (%)]],"&lt;&gt;0",RD[[#This Row],[IS1RH1 (%)]:[IS7RH2 (%)]]),"")</f>
        <v>77.877060067681924</v>
      </c>
      <c r="DE115" s="193" t="str">
        <f>IFERROR(AVERAGEIF(RD[[#This Row],[IS1Rain1 (mm)]:[IS7Rain2 (mm)]],"&lt;&gt;0",RD[[#This Row],[IS1Rain1 (mm)]:[IS7Rain2 (mm)]]),"")</f>
        <v/>
      </c>
      <c r="DF115" s="193">
        <f>IFERROR(AVERAGEIF(RD[[#This Row],[WS_Solar1_Avg (m/s)]:[IS7_WS_Solar1_Avg (m/s)]],"&lt;&gt;0",RD[[#This Row],[WS_Solar1_Avg (m/s)]:[IS7_WS_Solar1_Avg (m/s)]]),"")</f>
        <v>1.2535164974619284</v>
      </c>
      <c r="DG115" s="193">
        <f>IFERROR(AVERAGEIF(RD[[#This Row],[WS_Solar1_Max (m/s)]:[IS7_WS_Solar1_Max (m/s)]],"&lt;&gt;0",RD[[#This Row],[WS_Solar1_Max (m/s)]:[IS7_WS_Solar1_Max (m/s)]]),"")</f>
        <v>2.7404999999999999</v>
      </c>
      <c r="DH115" s="193">
        <f>SUM(RD[[#This Row],[IS1Inv1M1]:[IS4Inv4M2]])</f>
        <v>216785.20000000004</v>
      </c>
      <c r="DI115" s="194">
        <f>SUM(RD[[#This Row],[IS7Inv1M1]]+RD[[#This Row],[IS7Inv2M1]])</f>
        <v>12010</v>
      </c>
      <c r="DJ115" s="193">
        <f>SUM(RD[[#This Row],[IS5Inv1M1]:[IS5Inv2M2]])</f>
        <v>29183.800000000003</v>
      </c>
      <c r="DK115" s="193">
        <f>SUM(RD[[#This Row],[IS8Inv1M1]:[IS9Inv2M2]])</f>
        <v>57155.100000000006</v>
      </c>
      <c r="DL115" s="60">
        <f>SUM(RD[[#This Row],[IS6Inv1M1]:[IS6Inv2M2]])</f>
        <v>29360.799999999999</v>
      </c>
      <c r="DM115" s="275">
        <f>SUM(RD[[#This Row],[IS10Inv1M1]:[IS11Inv1M4]],RD[[#This Row],[IS14Inv1M1]:[IS14Inv2M4]])</f>
        <v>152073.79999999999</v>
      </c>
      <c r="DN115" s="275">
        <f>SUM(RD[[#This Row],[IS12Inv1M1]:[IS12Inv1M4]])</f>
        <v>30088.5</v>
      </c>
      <c r="DO115" s="275">
        <f>SUM(RD[[#This Row],[IS13Inv1M1]:[IS13Inv2M2]])</f>
        <v>33817</v>
      </c>
      <c r="DP115" s="193">
        <f>SUM(RD[[#This Row],[O2R15]:[O2R26]])</f>
        <v>560474.20000000007</v>
      </c>
      <c r="DQ115" s="158">
        <v>46136.800000000003</v>
      </c>
      <c r="DR115" s="162">
        <v>231.9</v>
      </c>
      <c r="DS115" s="158">
        <v>40373.699999999997</v>
      </c>
      <c r="DT115" s="158">
        <v>243.7</v>
      </c>
      <c r="DU115" s="162">
        <v>47822.6</v>
      </c>
      <c r="DV115" s="162">
        <v>458.1</v>
      </c>
      <c r="DW115" s="158">
        <v>11098.2</v>
      </c>
      <c r="DX115" s="162">
        <v>58.7</v>
      </c>
      <c r="DY115" s="162">
        <v>5176.6000000000004</v>
      </c>
      <c r="DZ115" s="162">
        <v>27.3</v>
      </c>
      <c r="EA115" s="134">
        <v>110.8</v>
      </c>
      <c r="EB115" s="230">
        <v>154957103</v>
      </c>
      <c r="EC115" s="229">
        <v>1094336.7679999999</v>
      </c>
      <c r="ED115" s="230">
        <v>1313</v>
      </c>
      <c r="EE115" s="230">
        <v>149139</v>
      </c>
      <c r="EF115" s="158">
        <v>214830.5</v>
      </c>
      <c r="EG115" s="158">
        <v>2095.5</v>
      </c>
      <c r="EH115" s="140">
        <f>IF((RD[[#This Row],[33 kV_F3_Ex
Incomer1]]-DQ114)*1000&lt;0,0,(RD[[#This Row],[33 kV_F3_Ex
Incomer1]]-DQ114)*1000)</f>
        <v>111500</v>
      </c>
      <c r="EI115" s="140">
        <f>IF((RD[[#This Row],[34 kV_F3_Im
Incomer1]]-DR114)*1000&lt;0,0,(RD[[#This Row],[34 kV_F3_Im
Incomer1]]-DR114)*1000)</f>
        <v>400.00000000000568</v>
      </c>
      <c r="EJ115" s="140">
        <f>IF((RD[[#This Row],[33 kV_F4_Ex
Incomer2]]-DS114)*1000&lt;0,0,(RD[[#This Row],[33 kV_F4_Ex
Incomer2]]-DS114)*1000)</f>
        <v>99199.99999999709</v>
      </c>
      <c r="EK115" s="140">
        <f>IF((RD[[#This Row],[34 kV_F4_Im
Incomer2]]-DT114)*1000&lt;0,0,(RD[[#This Row],[34 kV_F4_Im
Incomer2]]-DT114)*1000)</f>
        <v>399.99999999997726</v>
      </c>
      <c r="EL115" s="140">
        <f>IF((RD[[#This Row],[33 kV_F5_Ex
Incomer3]]-DU114)*1000&lt;0,0,(RD[[#This Row],[33 kV_F5_Ex
Incomer3]]-DU114)*1000)</f>
        <v>126500</v>
      </c>
      <c r="EM115" s="140">
        <f>IF((RD[[#This Row],[34 kV_F5_Im
Incomer3]]-DV114)*1000&lt;0,0,(RD[[#This Row],[34 kV_F5_Im
Incomer3]]-DV114)*1000)</f>
        <v>700.00000000004547</v>
      </c>
      <c r="EN115" s="140">
        <f>IF((RD[[#This Row],[33 kV_F6_Ex
Incomer4]]-DW114)*1000&lt;0,0,(RD[[#This Row],[33 kV_F6_Ex
Incomer4]]-DW114)*1000)</f>
        <v>46700.000000000728</v>
      </c>
      <c r="EO115" s="140">
        <f t="shared" si="166"/>
        <v>399.99999999997726</v>
      </c>
      <c r="EP115" s="140">
        <f>IF((RD[[#This Row],[33 kV_F7_Ex
Incomer5]]-DY114)*1000&lt;0,0,(RD[[#This Row],[33 kV_F7_Ex
Incomer5]]-DY114)*1000)</f>
        <v>132800.00000000017</v>
      </c>
      <c r="EQ115" s="140">
        <f>IF((RD[[#This Row],[33 kV_F7_Im
Incomer5]]-DZ114)*1000&lt;0,0,(RD[[#This Row],[33 kV_F7_Im
Incomer5]]-DZ114)*1000)</f>
        <v>600.00000000000136</v>
      </c>
      <c r="ER115" s="140">
        <f>IF((RD[[#This Row],[33 kV_Aux Trafo]]-EA114)*1000&lt;0,0,(RD[[#This Row],[33 kV_Aux Trafo]]-EA114)*1000)</f>
        <v>299.99999999999716</v>
      </c>
      <c r="ES115" s="152">
        <f>IF((RD[[#This Row],[33kV_OG1_Ex_]]-EB114)*1&lt;0,0,(RD[[#This Row],[33kV_OG1_Ex_]]-EB114)*1)</f>
        <v>552813</v>
      </c>
      <c r="ET115" s="140">
        <f>IF((RD[[#This Row],[33kV_OG1_Im]]-EC114)*1&lt;0,0,(RD[[#This Row],[33kV_OG1_Im]]-EC114)*1)</f>
        <v>2492.1599999999162</v>
      </c>
      <c r="EU115" s="140">
        <f>IF((RD[[#This Row],[132kV_TX1_EX]]-ED114)*720&lt;=0,"",(RD[[#This Row],[132kV_TX1_EX]]-ED114)*720)</f>
        <v>2160</v>
      </c>
      <c r="EV115" s="140">
        <f>IF((RD[[#This Row],[132 kV_Tx1_Im]]-EE114)*720&lt;=0,0,(RD[[#This Row],[132 kV_Tx1_Im]]-EE114)*720)</f>
        <v>396720</v>
      </c>
      <c r="EW115" s="140">
        <f>IF((RD[[#This Row],[132kV_L1_Ex]]-EF114)*720&lt;=0,0,(RD[[#This Row],[132kV_L1_Ex]]-EF114)*720)</f>
        <v>551087.99999999581</v>
      </c>
      <c r="EX115" s="140">
        <f>IF((RD[[#This Row],[132kV_L1_Im]]-EG114)*720&lt;=0,0,(RD[[#This Row],[132kV_L1_Im]]-EG114)*720)</f>
        <v>3023.999999999869</v>
      </c>
      <c r="EY115" s="316">
        <f>IFERROR(RD[[#This Row],[33kV_OG1_Ex (MWh)]]+RD[[#This Row],[33kV_OG1_Im (MWh)]],"")</f>
        <v>555305.15999999992</v>
      </c>
      <c r="EZ115" s="142">
        <f>RD[[#This Row],[33kV_OG1_Ex (MWh)]]-RD[[#This Row],[33kV_OG1_Im (MWh)]]</f>
        <v>550320.84000000008</v>
      </c>
      <c r="FA115" s="142">
        <f>IFERROR(RD[[#This Row],[132kV_L1_Ex(MWh)]]-RD[[#This Row],[132kV_L1_Im(MWh)]],"")</f>
        <v>548063.99999999593</v>
      </c>
      <c r="FB115" s="318">
        <f>IFERROR(RD[[#This Row],[33kV_Ex(MWh)]]/RD[[#This Row],[Inv Total Gneration (MWh)]]-1,"")</f>
        <v>-9.2226189894203392E-3</v>
      </c>
      <c r="FC115" s="319">
        <f>IFERROR((RD[[#This Row],[Sunset Time (POA&lt;20 W/m2)]]-RD[[#This Row],[Sunrise Time (POA&gt;20 W/m2)]])*24,0)</f>
        <v>12.499999999999998</v>
      </c>
      <c r="FD115" s="233">
        <v>128.08000000000001</v>
      </c>
      <c r="FE115" t="s">
        <v>294</v>
      </c>
      <c r="FG115" s="138" t="str">
        <f>IFERROR(RD[[#This Row],[E_AC (WPR)]]/RD[[#This Row],[E_DC (WPR)]],"")</f>
        <v/>
      </c>
    </row>
    <row r="116" spans="1:163">
      <c r="A116" s="130">
        <f t="shared" si="167"/>
        <v>45856</v>
      </c>
      <c r="B116" s="132">
        <f>YEAR(RD[[#This Row],[Date]])+IF(MONTH(RD[[#This Row],[Date]])&gt;=4,1,0)</f>
        <v>2026</v>
      </c>
      <c r="C116" s="132">
        <f>YEAR(RD[[#This Row],[Date]])</f>
        <v>2025</v>
      </c>
      <c r="D116" s="133">
        <f t="shared" si="169"/>
        <v>45839</v>
      </c>
      <c r="E116" s="132">
        <f>DAY(EOMONTH(RD[[#This Row],[Date]],0))</f>
        <v>31</v>
      </c>
      <c r="F116" s="146">
        <v>0.26180555555555557</v>
      </c>
      <c r="G116" s="156">
        <v>0.78125</v>
      </c>
      <c r="H116" s="121">
        <v>5090.7</v>
      </c>
      <c r="I116" s="257">
        <v>5068.8999999999996</v>
      </c>
      <c r="J116" s="121">
        <v>4721.1000000000004</v>
      </c>
      <c r="K116" s="121">
        <v>4720.5</v>
      </c>
      <c r="L116" s="121">
        <v>4865.1000000000004</v>
      </c>
      <c r="M116" s="121">
        <v>5036.1000000000004</v>
      </c>
      <c r="N116" s="121">
        <v>4876.3999999999996</v>
      </c>
      <c r="O116" s="121">
        <v>5478.3</v>
      </c>
      <c r="P116" s="121">
        <v>4897.3</v>
      </c>
      <c r="Q116" s="121">
        <v>4848.1000000000004</v>
      </c>
      <c r="R116" s="121">
        <v>4991.5</v>
      </c>
      <c r="S116" s="255">
        <v>4989.2</v>
      </c>
      <c r="T116" s="121">
        <v>5009.5</v>
      </c>
      <c r="U116" s="121">
        <v>4960.5</v>
      </c>
      <c r="V116" s="121">
        <v>5168.3</v>
      </c>
      <c r="W116" s="121">
        <v>4962.2</v>
      </c>
      <c r="X116" s="283">
        <v>6913.9</v>
      </c>
      <c r="Y116" s="192">
        <v>7871.3</v>
      </c>
      <c r="Z116" s="192">
        <v>6785.2</v>
      </c>
      <c r="AA116" s="192">
        <v>7105.2</v>
      </c>
      <c r="AB116" s="283">
        <v>7549.2</v>
      </c>
      <c r="AC116" s="192">
        <v>4630.3999999999996</v>
      </c>
      <c r="AD116" s="192">
        <v>6985.8</v>
      </c>
      <c r="AE116" s="192">
        <v>7119.4</v>
      </c>
      <c r="AF116" s="283">
        <v>6947.5</v>
      </c>
      <c r="AG116" s="192">
        <v>6872</v>
      </c>
      <c r="AH116" s="192">
        <v>6943.7</v>
      </c>
      <c r="AI116" s="283">
        <v>6982.3</v>
      </c>
      <c r="AJ116" s="136">
        <v>5850</v>
      </c>
      <c r="AK116" s="136">
        <v>5978.4</v>
      </c>
      <c r="AL116" s="136">
        <v>5926.5</v>
      </c>
      <c r="AM116" s="136">
        <v>5957.2</v>
      </c>
      <c r="AN116" s="136">
        <v>5995.2</v>
      </c>
      <c r="AO116" s="136">
        <v>6115.6</v>
      </c>
      <c r="AP116" s="136">
        <v>6133</v>
      </c>
      <c r="AQ116" s="136">
        <v>6069.8</v>
      </c>
      <c r="AR116" s="136">
        <v>4878.3999999999996</v>
      </c>
      <c r="AS116" s="136">
        <v>4910.5</v>
      </c>
      <c r="AT116" s="136">
        <v>4901.3</v>
      </c>
      <c r="AU116" s="136">
        <v>4821.7</v>
      </c>
      <c r="AV116" s="136">
        <v>4968.2</v>
      </c>
      <c r="AW116" s="136">
        <v>4906.1000000000004</v>
      </c>
      <c r="AX116" s="136">
        <v>6949.4</v>
      </c>
      <c r="AY116" s="136">
        <v>7897.6</v>
      </c>
      <c r="AZ116" s="136">
        <v>5713.7</v>
      </c>
      <c r="BA116" s="136">
        <v>6965.7</v>
      </c>
      <c r="BB116" s="136">
        <v>7044.4</v>
      </c>
      <c r="BC116" s="136">
        <v>6762.2</v>
      </c>
      <c r="BD116" s="136">
        <v>6095.6</v>
      </c>
      <c r="BE116" s="136">
        <v>6686.9</v>
      </c>
      <c r="BF116" s="136">
        <v>7241.3</v>
      </c>
      <c r="BG116" s="136">
        <v>7276.4</v>
      </c>
      <c r="BH116" s="136">
        <v>7197.5</v>
      </c>
      <c r="BI116" s="136">
        <v>7392.9</v>
      </c>
      <c r="BJ116" s="136">
        <v>4731.5</v>
      </c>
      <c r="BK116" s="136">
        <v>3763</v>
      </c>
      <c r="BL116" s="136">
        <v>4572</v>
      </c>
      <c r="BM116" s="136">
        <v>4516</v>
      </c>
      <c r="BN116" s="136">
        <v>5038</v>
      </c>
      <c r="BO116" s="136">
        <v>4817</v>
      </c>
      <c r="BP116" s="136">
        <v>5301</v>
      </c>
      <c r="BQ116" s="136">
        <v>5193</v>
      </c>
      <c r="BR116" s="136">
        <v>5412.9</v>
      </c>
      <c r="BS116" s="136">
        <v>5693</v>
      </c>
      <c r="BT116" s="136">
        <v>5858</v>
      </c>
      <c r="BU116" s="136">
        <v>5755</v>
      </c>
      <c r="BV116" s="192">
        <v>4642.8999999999996</v>
      </c>
      <c r="BW116" s="192">
        <v>4473.6000000000004</v>
      </c>
      <c r="BX116" s="192">
        <v>3707.8</v>
      </c>
      <c r="BY116" s="192">
        <v>4806.1000000000004</v>
      </c>
      <c r="BZ116" s="136">
        <v>4269.7</v>
      </c>
      <c r="CA116" s="136">
        <v>566.9</v>
      </c>
      <c r="CB116" s="136">
        <v>4374.1000000000004</v>
      </c>
      <c r="CC116" s="136">
        <v>4847</v>
      </c>
      <c r="CD116" s="195">
        <v>3.8651064833333399</v>
      </c>
      <c r="CE116" s="59">
        <v>3.7355992833333325</v>
      </c>
      <c r="CF116" s="195">
        <v>3.2149126166666697</v>
      </c>
      <c r="CG116" s="195">
        <v>3.7552842666666644</v>
      </c>
      <c r="CH116" s="195">
        <v>0.48499164999999994</v>
      </c>
      <c r="CI116" s="195">
        <v>0.5361670999999999</v>
      </c>
      <c r="CJ116" s="59">
        <v>0.69673566666666731</v>
      </c>
      <c r="CK116" s="59">
        <v>0.54689395000000041</v>
      </c>
      <c r="CL116" s="195">
        <v>28.15502665651189</v>
      </c>
      <c r="CM116" s="195">
        <v>28.142848438690066</v>
      </c>
      <c r="CN116" s="195">
        <v>39.085147753236818</v>
      </c>
      <c r="CO116" s="195">
        <v>36.690367098248316</v>
      </c>
      <c r="CP116" s="195">
        <v>78.336024371667847</v>
      </c>
      <c r="CQ116" s="195">
        <v>78.090449352627488</v>
      </c>
      <c r="CR116" s="195">
        <v>0</v>
      </c>
      <c r="CS116" s="59">
        <v>0</v>
      </c>
      <c r="CT116" s="195">
        <v>0.86639908606245264</v>
      </c>
      <c r="CU116" s="195">
        <v>0.95339223153084507</v>
      </c>
      <c r="CV116" s="195">
        <v>2.0219999999999998</v>
      </c>
      <c r="CW116" s="247">
        <v>2.16</v>
      </c>
      <c r="CX116" s="193">
        <f>IFERROR(AVERAGEIF(RD[[#This Row],[IS1POA1 (KWh/m2)]:[IS7POA2 (KWh/m2)]],"&lt;&gt;0",RD[[#This Row],[IS1POA1 (KWh/m2)]:[IS7POA2 (KWh/m2)]]),"")</f>
        <v>3.8003528833333364</v>
      </c>
      <c r="CY116" s="193">
        <f>IFERROR(AVERAGEIF(RD[[#This Row],[IS1GHI1 (KWh/m2)]:[IS7GHI2 (KWh/m2)]],"&lt;&gt;0",RD[[#This Row],[IS1GHI1 (KWh/m2)]:[IS7GHI2 (KWh/m2)]]),"")</f>
        <v>3.485098441666667</v>
      </c>
      <c r="CZ116" s="193">
        <f>IFERROR(AVERAGEIF(RD[[#This Row],[IS1POA_BS1 (KWh/m2)]:[IS7POA_BS2 (KWh/m2)]],"&lt;&gt;0",RD[[#This Row],[IS1POA_BS1 (KWh/m2)]:[IS7POA_BS2 (KWh/m2)]]),"")</f>
        <v>0.51057937499999995</v>
      </c>
      <c r="DA116" s="193">
        <f>IFERROR(AVERAGEIF(RD[[#This Row],[IS1GHI_BS1 (KWh/m2)]:[IS1GHI_BS1 (KWh/m2)2]],"&lt;&gt;0",RD[[#This Row],[IS1GHI_BS1 (KWh/m2)]:[IS1GHI_BS1 (KWh/m2)2]]),"")</f>
        <v>0.62181480833333391</v>
      </c>
      <c r="DB116" s="193">
        <f>IFERROR(AVERAGEIF(RD[[#This Row],[IS1AT1 (°C)]:[IS7AT2 (°C)]],"&lt;&gt;0",RD[[#This Row],[IS1AT1 (°C)]:[IS7AT2 (°C)]]),"")</f>
        <v>28.14893754760098</v>
      </c>
      <c r="DC116" s="193">
        <f>IFERROR(AVERAGEIF(RD[[#This Row],[IS1MT1 (°C)]:[IS7MT2 (°C)]],"&lt;&gt;0",RD[[#This Row],[IS1MT1 (°C)]:[IS7MT2 (°C)]]),"")</f>
        <v>37.887757425742564</v>
      </c>
      <c r="DD116" s="193">
        <f>IFERROR(AVERAGEIF(RD[[#This Row],[IS1RH1 (%)]:[IS7RH2 (%)]],"&lt;&gt;0",RD[[#This Row],[IS1RH1 (%)]:[IS7RH2 (%)]]),"")</f>
        <v>78.213236862147667</v>
      </c>
      <c r="DE116" s="193" t="str">
        <f>IFERROR(AVERAGEIF(RD[[#This Row],[IS1Rain1 (mm)]:[IS7Rain2 (mm)]],"&lt;&gt;0",RD[[#This Row],[IS1Rain1 (mm)]:[IS7Rain2 (mm)]]),"")</f>
        <v/>
      </c>
      <c r="DF116" s="193">
        <f>IFERROR(AVERAGEIF(RD[[#This Row],[WS_Solar1_Avg (m/s)]:[IS7_WS_Solar1_Avg (m/s)]],"&lt;&gt;0",RD[[#This Row],[WS_Solar1_Avg (m/s)]:[IS7_WS_Solar1_Avg (m/s)]]),"")</f>
        <v>0.90989565879664891</v>
      </c>
      <c r="DG116" s="193">
        <f>IFERROR(AVERAGEIF(RD[[#This Row],[WS_Solar1_Max (m/s)]:[IS7_WS_Solar1_Max (m/s)]],"&lt;&gt;0",RD[[#This Row],[WS_Solar1_Max (m/s)]:[IS7_WS_Solar1_Max (m/s)]]),"")</f>
        <v>2.0910000000000002</v>
      </c>
      <c r="DH116" s="193">
        <f>SUM(RD[[#This Row],[IS1Inv1M1]:[IS4Inv4M2]])</f>
        <v>162389.59999999998</v>
      </c>
      <c r="DI116" s="194">
        <f>SUM(RD[[#This Row],[IS7Inv1M1]]+RD[[#This Row],[IS7Inv2M1]])</f>
        <v>9788.9</v>
      </c>
      <c r="DJ116" s="193">
        <f>SUM(RD[[#This Row],[IS5Inv1M1]:[IS5Inv2M2]])</f>
        <v>23712.100000000002</v>
      </c>
      <c r="DK116" s="193">
        <f>SUM(RD[[#This Row],[IS8Inv1M1]:[IS9Inv2M2]])</f>
        <v>47123.7</v>
      </c>
      <c r="DL116" s="60">
        <f>SUM(RD[[#This Row],[IS6Inv1M1]:[IS6Inv2M2]])</f>
        <v>24313.599999999999</v>
      </c>
      <c r="DM116" s="275">
        <f>SUM(RD[[#This Row],[IS10Inv1M1]:[IS11Inv1M4]],RD[[#This Row],[IS14Inv1M1]:[IS14Inv2M4]])</f>
        <v>104967.80000000002</v>
      </c>
      <c r="DN116" s="275">
        <f>SUM(RD[[#This Row],[IS12Inv1M1]:[IS12Inv1M4]])</f>
        <v>20349</v>
      </c>
      <c r="DO116" s="275">
        <f>SUM(RD[[#This Row],[IS13Inv1M1]:[IS13Inv2M2]])</f>
        <v>22718.9</v>
      </c>
      <c r="DP116" s="193">
        <f>SUM(RD[[#This Row],[O2R15]:[O2R26]])</f>
        <v>415363.6</v>
      </c>
      <c r="DQ116" s="158">
        <v>46219.199999999997</v>
      </c>
      <c r="DR116" s="162">
        <v>232.1</v>
      </c>
      <c r="DS116" s="158">
        <v>40449.9</v>
      </c>
      <c r="DT116" s="158">
        <v>244</v>
      </c>
      <c r="DU116" s="162">
        <v>47926.9</v>
      </c>
      <c r="DV116" s="162">
        <v>458.7</v>
      </c>
      <c r="DW116" s="158">
        <v>11129.8</v>
      </c>
      <c r="DX116" s="162">
        <v>58.9</v>
      </c>
      <c r="DY116" s="162">
        <v>5269.1</v>
      </c>
      <c r="DZ116" s="162">
        <v>27.9</v>
      </c>
      <c r="EA116" s="134">
        <v>111.07</v>
      </c>
      <c r="EB116" s="230">
        <v>155369177</v>
      </c>
      <c r="EC116" s="229">
        <v>1096790.1440000001</v>
      </c>
      <c r="ED116" s="230">
        <v>1316</v>
      </c>
      <c r="EE116" s="230">
        <v>149549</v>
      </c>
      <c r="EF116" s="158">
        <v>215401.1</v>
      </c>
      <c r="EG116" s="158">
        <v>2099.6</v>
      </c>
      <c r="EH116" s="140">
        <f>IF((RD[[#This Row],[33 kV_F3_Ex
Incomer1]]-DQ115)*1000&lt;0,0,(RD[[#This Row],[33 kV_F3_Ex
Incomer1]]-DQ115)*1000)</f>
        <v>82399.999999994179</v>
      </c>
      <c r="EI116" s="140">
        <f>IF((RD[[#This Row],[34 kV_F3_Im
Incomer1]]-DR115)*1000&lt;0,0,(RD[[#This Row],[34 kV_F3_Im
Incomer1]]-DR115)*1000)</f>
        <v>199.99999999998863</v>
      </c>
      <c r="EJ116" s="140">
        <f>IF((RD[[#This Row],[33 kV_F4_Ex
Incomer2]]-DS115)*1000&lt;0,0,(RD[[#This Row],[33 kV_F4_Ex
Incomer2]]-DS115)*1000)</f>
        <v>76200.000000004366</v>
      </c>
      <c r="EK116" s="140">
        <f>IF((RD[[#This Row],[34 kV_F4_Im
Incomer2]]-DT115)*1000&lt;0,0,(RD[[#This Row],[34 kV_F4_Im
Incomer2]]-DT115)*1000)</f>
        <v>300.00000000001137</v>
      </c>
      <c r="EL116" s="140">
        <f>IF((RD[[#This Row],[33 kV_F5_Ex
Incomer3]]-DU115)*1000&lt;0,0,(RD[[#This Row],[33 kV_F5_Ex
Incomer3]]-DU115)*1000)</f>
        <v>104300.00000000291</v>
      </c>
      <c r="EM116" s="140">
        <f>IF((RD[[#This Row],[34 kV_F5_Im
Incomer3]]-DV115)*1000&lt;0,0,(RD[[#This Row],[34 kV_F5_Im
Incomer3]]-DV115)*1000)</f>
        <v>599.99999999996589</v>
      </c>
      <c r="EN116" s="140">
        <f>IF((RD[[#This Row],[33 kV_F6_Ex
Incomer4]]-DW115)*1000&lt;0,0,(RD[[#This Row],[33 kV_F6_Ex
Incomer4]]-DW115)*1000)</f>
        <v>31599.999999998545</v>
      </c>
      <c r="EO116" s="140">
        <f t="shared" si="166"/>
        <v>300.00000000001137</v>
      </c>
      <c r="EP116" s="140">
        <f>IF((RD[[#This Row],[33 kV_F7_Ex
Incomer5]]-DY115)*1000&lt;0,0,(RD[[#This Row],[33 kV_F7_Ex
Incomer5]]-DY115)*1000)</f>
        <v>92500</v>
      </c>
      <c r="EQ116" s="140">
        <f>IF((RD[[#This Row],[33 kV_F7_Im
Incomer5]]-DZ115)*1000&lt;0,0,(RD[[#This Row],[33 kV_F7_Im
Incomer5]]-DZ115)*1000)</f>
        <v>599.99999999999784</v>
      </c>
      <c r="ER116" s="140">
        <f>IF((RD[[#This Row],[33 kV_Aux Trafo]]-EA115)*1000&lt;0,0,(RD[[#This Row],[33 kV_Aux Trafo]]-EA115)*1000)</f>
        <v>269.99999999999602</v>
      </c>
      <c r="ES116" s="152">
        <f>IF((RD[[#This Row],[33kV_OG1_Ex_]]-EB115)*1&lt;0,0,(RD[[#This Row],[33kV_OG1_Ex_]]-EB115)*1)</f>
        <v>412074</v>
      </c>
      <c r="ET116" s="140">
        <f>IF((RD[[#This Row],[33kV_OG1_Im]]-EC115)*1&lt;0,0,(RD[[#This Row],[33kV_OG1_Im]]-EC115)*1)</f>
        <v>2453.3760000001639</v>
      </c>
      <c r="EU116" s="140">
        <f>IF((RD[[#This Row],[132kV_TX1_EX]]-ED115)*720&lt;=0,"",(RD[[#This Row],[132kV_TX1_EX]]-ED115)*720)</f>
        <v>2160</v>
      </c>
      <c r="EV116" s="140">
        <f>IF((RD[[#This Row],[132 kV_Tx1_Im]]-EE115)*720&lt;=0,0,(RD[[#This Row],[132 kV_Tx1_Im]]-EE115)*720)</f>
        <v>295200</v>
      </c>
      <c r="EW116" s="140">
        <f>IF((RD[[#This Row],[132kV_L1_Ex]]-EF115)*720&lt;=0,0,(RD[[#This Row],[132kV_L1_Ex]]-EF115)*720)</f>
        <v>410832.00000000419</v>
      </c>
      <c r="EX116" s="140">
        <f>IF((RD[[#This Row],[132kV_L1_Im]]-EG115)*720&lt;=0,0,(RD[[#This Row],[132kV_L1_Im]]-EG115)*720)</f>
        <v>2951.9999999999345</v>
      </c>
      <c r="EY116" s="316">
        <f>IFERROR(RD[[#This Row],[33kV_OG1_Ex (MWh)]]+RD[[#This Row],[33kV_OG1_Im (MWh)]],"")</f>
        <v>414527.37600000016</v>
      </c>
      <c r="EZ116" s="142">
        <f>RD[[#This Row],[33kV_OG1_Ex (MWh)]]-RD[[#This Row],[33kV_OG1_Im (MWh)]]</f>
        <v>409620.62399999984</v>
      </c>
      <c r="FA116" s="142">
        <f>IFERROR(RD[[#This Row],[132kV_L1_Ex(MWh)]]-RD[[#This Row],[132kV_L1_Im(MWh)]],"")</f>
        <v>407880.00000000425</v>
      </c>
      <c r="FB116" s="318">
        <f>IFERROR(RD[[#This Row],[33kV_Ex(MWh)]]/RD[[#This Row],[Inv Total Gneration (MWh)]]-1,"")</f>
        <v>-2.0132337065641437E-3</v>
      </c>
      <c r="FC116" s="319">
        <f>IFERROR((RD[[#This Row],[Sunset Time (POA&lt;20 W/m2)]]-RD[[#This Row],[Sunrise Time (POA&gt;20 W/m2)]])*24,0)</f>
        <v>12.466666666666665</v>
      </c>
      <c r="FD116" s="233">
        <v>128.08000000000001</v>
      </c>
      <c r="FE116" s="331" t="s">
        <v>297</v>
      </c>
      <c r="FG116" s="138" t="str">
        <f>IFERROR(RD[[#This Row],[E_AC (WPR)]]/RD[[#This Row],[E_DC (WPR)]],"")</f>
        <v/>
      </c>
    </row>
    <row r="117" spans="1:163">
      <c r="A117" s="130">
        <f t="shared" si="167"/>
        <v>45857</v>
      </c>
      <c r="B117" s="132">
        <f>YEAR(RD[[#This Row],[Date]])+IF(MONTH(RD[[#This Row],[Date]])&gt;=4,1,0)</f>
        <v>2026</v>
      </c>
      <c r="C117" s="132">
        <f>YEAR(RD[[#This Row],[Date]])</f>
        <v>2025</v>
      </c>
      <c r="D117" s="133">
        <f t="shared" si="169"/>
        <v>45839</v>
      </c>
      <c r="E117" s="132">
        <f>DAY(EOMONTH(RD[[#This Row],[Date]],0))</f>
        <v>31</v>
      </c>
      <c r="F117" s="146">
        <v>0.25624999999999998</v>
      </c>
      <c r="G117" s="156">
        <v>0.78333333333333333</v>
      </c>
      <c r="H117" s="121">
        <v>7669.9</v>
      </c>
      <c r="I117" s="257">
        <v>7611.6</v>
      </c>
      <c r="J117" s="121">
        <v>7223.4</v>
      </c>
      <c r="K117" s="121">
        <v>7305.5</v>
      </c>
      <c r="L117" s="121">
        <v>7508.9</v>
      </c>
      <c r="M117" s="121">
        <v>7701.4</v>
      </c>
      <c r="N117" s="121">
        <v>7482.5</v>
      </c>
      <c r="O117" s="121">
        <v>8151.1</v>
      </c>
      <c r="P117" s="121">
        <v>7415.4</v>
      </c>
      <c r="Q117" s="121">
        <v>7429.2</v>
      </c>
      <c r="R117" s="121">
        <v>7606.8</v>
      </c>
      <c r="S117" s="255">
        <v>7564.3</v>
      </c>
      <c r="T117" s="121">
        <v>7635.2</v>
      </c>
      <c r="U117" s="121">
        <v>7599.2</v>
      </c>
      <c r="V117" s="121">
        <v>7839.7</v>
      </c>
      <c r="W117" s="121">
        <v>7546.4</v>
      </c>
      <c r="X117" s="283">
        <v>10491.3</v>
      </c>
      <c r="Y117" s="192">
        <v>11632.5</v>
      </c>
      <c r="Z117" s="192">
        <v>10224.200000000001</v>
      </c>
      <c r="AA117" s="192">
        <v>10624</v>
      </c>
      <c r="AB117" s="283">
        <v>11464.3</v>
      </c>
      <c r="AC117" s="192">
        <v>7166.2</v>
      </c>
      <c r="AD117" s="192">
        <v>10572.1</v>
      </c>
      <c r="AE117" s="192">
        <v>10657.3</v>
      </c>
      <c r="AF117" s="283">
        <v>10603.4</v>
      </c>
      <c r="AG117" s="192">
        <v>10625</v>
      </c>
      <c r="AH117" s="192">
        <v>10504.7</v>
      </c>
      <c r="AI117" s="283">
        <v>10604.1</v>
      </c>
      <c r="AJ117" s="136">
        <v>9004.5</v>
      </c>
      <c r="AK117" s="136">
        <v>9312.1</v>
      </c>
      <c r="AL117" s="136">
        <v>9304.9</v>
      </c>
      <c r="AM117" s="136">
        <v>9443.7999999999993</v>
      </c>
      <c r="AN117" s="136">
        <v>9227.7000000000007</v>
      </c>
      <c r="AO117" s="136">
        <v>9388.9</v>
      </c>
      <c r="AP117" s="136">
        <v>9347.7000000000007</v>
      </c>
      <c r="AQ117" s="136">
        <v>9316.9</v>
      </c>
      <c r="AR117" s="136">
        <v>7464.6</v>
      </c>
      <c r="AS117" s="136">
        <v>7555.5</v>
      </c>
      <c r="AT117" s="136">
        <v>7594.3</v>
      </c>
      <c r="AU117" s="136">
        <v>7549.4</v>
      </c>
      <c r="AV117" s="136">
        <v>7730.8</v>
      </c>
      <c r="AW117" s="136">
        <v>7613.8</v>
      </c>
      <c r="AX117" s="136">
        <v>10500.2</v>
      </c>
      <c r="AY117" s="136">
        <v>11736.2</v>
      </c>
      <c r="AZ117" s="136">
        <v>8822.7000000000007</v>
      </c>
      <c r="BA117" s="136">
        <v>10618.5</v>
      </c>
      <c r="BB117" s="136">
        <v>9367.2999999999993</v>
      </c>
      <c r="BC117" s="136">
        <v>9015.5</v>
      </c>
      <c r="BD117" s="136">
        <v>9282.2999999999993</v>
      </c>
      <c r="BE117" s="136">
        <v>10107.200000000001</v>
      </c>
      <c r="BF117" s="136">
        <v>11223.2</v>
      </c>
      <c r="BG117" s="136">
        <v>11307.5</v>
      </c>
      <c r="BH117" s="136">
        <v>11149.4</v>
      </c>
      <c r="BI117" s="136">
        <v>11446.2</v>
      </c>
      <c r="BJ117" s="136">
        <v>7579</v>
      </c>
      <c r="BK117" s="136">
        <v>6139</v>
      </c>
      <c r="BL117" s="136">
        <v>7362</v>
      </c>
      <c r="BM117" s="136">
        <v>7322</v>
      </c>
      <c r="BN117" s="136">
        <v>7962.7</v>
      </c>
      <c r="BO117" s="136">
        <v>7670.2</v>
      </c>
      <c r="BP117" s="136">
        <v>8286.9</v>
      </c>
      <c r="BQ117" s="136">
        <v>8191.5</v>
      </c>
      <c r="BR117" s="136">
        <v>8773</v>
      </c>
      <c r="BS117" s="136">
        <v>9073</v>
      </c>
      <c r="BT117" s="136">
        <v>9117</v>
      </c>
      <c r="BU117" s="136">
        <v>9384</v>
      </c>
      <c r="BV117" s="192">
        <v>7830</v>
      </c>
      <c r="BW117" s="192">
        <v>7588</v>
      </c>
      <c r="BX117" s="192">
        <v>6742</v>
      </c>
      <c r="BY117" s="192">
        <v>8094</v>
      </c>
      <c r="BZ117" s="136">
        <v>7343</v>
      </c>
      <c r="CA117" s="136">
        <v>1069</v>
      </c>
      <c r="CB117" s="136">
        <v>7424</v>
      </c>
      <c r="CC117" s="136">
        <v>7865</v>
      </c>
      <c r="CD117" s="195">
        <v>5.4113971666667</v>
      </c>
      <c r="CE117" s="59">
        <v>6.1125858500000003</v>
      </c>
      <c r="CF117" s="195">
        <v>5.3788450166666628</v>
      </c>
      <c r="CG117" s="195">
        <v>6.1827109333333317</v>
      </c>
      <c r="CH117" s="195">
        <v>0.81513838333333333</v>
      </c>
      <c r="CI117" s="195">
        <v>0.87781914999999933</v>
      </c>
      <c r="CJ117" s="59">
        <v>1.1527092499999996</v>
      </c>
      <c r="CK117" s="59">
        <v>0.91850409999999927</v>
      </c>
      <c r="CL117" s="195">
        <v>28.639416604338066</v>
      </c>
      <c r="CM117" s="195">
        <v>28.648788332086763</v>
      </c>
      <c r="CN117" s="195">
        <v>42.407188481675426</v>
      </c>
      <c r="CO117" s="195">
        <v>40.086381451009728</v>
      </c>
      <c r="CP117" s="195">
        <v>71.377524308152488</v>
      </c>
      <c r="CQ117" s="195">
        <v>71.988429319371775</v>
      </c>
      <c r="CR117" s="195">
        <v>0</v>
      </c>
      <c r="CS117" s="59">
        <v>0</v>
      </c>
      <c r="CT117" s="195">
        <v>0.83522737471952191</v>
      </c>
      <c r="CU117" s="195">
        <v>0.932317875841433</v>
      </c>
      <c r="CV117" s="195">
        <v>2.2410000000000001</v>
      </c>
      <c r="CW117" s="247">
        <v>2.4329999999999998</v>
      </c>
      <c r="CX117" s="193">
        <f>IFERROR(AVERAGEIF(RD[[#This Row],[IS1POA1 (KWh/m2)]:[IS7POA2 (KWh/m2)]],"&lt;&gt;0",RD[[#This Row],[IS1POA1 (KWh/m2)]:[IS7POA2 (KWh/m2)]]),"")</f>
        <v>5.7619915083333506</v>
      </c>
      <c r="CY117" s="193">
        <f>IFERROR(AVERAGEIF(RD[[#This Row],[IS1GHI1 (KWh/m2)]:[IS7GHI2 (KWh/m2)]],"&lt;&gt;0",RD[[#This Row],[IS1GHI1 (KWh/m2)]:[IS7GHI2 (KWh/m2)]]),"")</f>
        <v>5.7807779749999977</v>
      </c>
      <c r="CZ117" s="193">
        <f>IFERROR(AVERAGEIF(RD[[#This Row],[IS1POA_BS1 (KWh/m2)]:[IS7POA_BS2 (KWh/m2)]],"&lt;&gt;0",RD[[#This Row],[IS1POA_BS1 (KWh/m2)]:[IS7POA_BS2 (KWh/m2)]]),"")</f>
        <v>0.84647876666666633</v>
      </c>
      <c r="DA117" s="193">
        <f>IFERROR(AVERAGEIF(RD[[#This Row],[IS1GHI_BS1 (KWh/m2)]:[IS1GHI_BS1 (KWh/m2)2]],"&lt;&gt;0",RD[[#This Row],[IS1GHI_BS1 (KWh/m2)]:[IS1GHI_BS1 (KWh/m2)2]]),"")</f>
        <v>1.0356066749999995</v>
      </c>
      <c r="DB117" s="193">
        <f>IFERROR(AVERAGEIF(RD[[#This Row],[IS1AT1 (°C)]:[IS7AT2 (°C)]],"&lt;&gt;0",RD[[#This Row],[IS1AT1 (°C)]:[IS7AT2 (°C)]]),"")</f>
        <v>28.644102468212417</v>
      </c>
      <c r="DC117" s="193">
        <f>IFERROR(AVERAGEIF(RD[[#This Row],[IS1MT1 (°C)]:[IS7MT2 (°C)]],"&lt;&gt;0",RD[[#This Row],[IS1MT1 (°C)]:[IS7MT2 (°C)]]),"")</f>
        <v>41.246784966342574</v>
      </c>
      <c r="DD117" s="193">
        <f>IFERROR(AVERAGEIF(RD[[#This Row],[IS1RH1 (%)]:[IS7RH2 (%)]],"&lt;&gt;0",RD[[#This Row],[IS1RH1 (%)]:[IS7RH2 (%)]]),"")</f>
        <v>71.682976813762139</v>
      </c>
      <c r="DE117" s="193" t="str">
        <f>IFERROR(AVERAGEIF(RD[[#This Row],[IS1Rain1 (mm)]:[IS7Rain2 (mm)]],"&lt;&gt;0",RD[[#This Row],[IS1Rain1 (mm)]:[IS7Rain2 (mm)]]),"")</f>
        <v/>
      </c>
      <c r="DF117" s="193">
        <f>IFERROR(AVERAGEIF(RD[[#This Row],[WS_Solar1_Avg (m/s)]:[IS7_WS_Solar1_Avg (m/s)]],"&lt;&gt;0",RD[[#This Row],[WS_Solar1_Avg (m/s)]:[IS7_WS_Solar1_Avg (m/s)]]),"")</f>
        <v>0.8837726252804774</v>
      </c>
      <c r="DG117" s="193">
        <f>IFERROR(AVERAGEIF(RD[[#This Row],[WS_Solar1_Max (m/s)]:[IS7_WS_Solar1_Max (m/s)]],"&lt;&gt;0",RD[[#This Row],[WS_Solar1_Max (m/s)]:[IS7_WS_Solar1_Max (m/s)]]),"")</f>
        <v>2.3369999999999997</v>
      </c>
      <c r="DH117" s="193">
        <f>SUM(RD[[#This Row],[IS1Inv1M1]:[IS4Inv4M2]])</f>
        <v>246459.6</v>
      </c>
      <c r="DI117" s="194">
        <f>SUM(RD[[#This Row],[IS7Inv1M1]]+RD[[#This Row],[IS7Inv2M1]])</f>
        <v>15020.1</v>
      </c>
      <c r="DJ117" s="193">
        <f>SUM(RD[[#This Row],[IS5Inv1M1]:[IS5Inv2M2]])</f>
        <v>37065.300000000003</v>
      </c>
      <c r="DK117" s="193">
        <f>SUM(RD[[#This Row],[IS8Inv1M1]:[IS9Inv2M2]])</f>
        <v>72165.899999999994</v>
      </c>
      <c r="DL117" s="60">
        <f>SUM(RD[[#This Row],[IS6Inv1M1]:[IS6Inv2M2]])</f>
        <v>37281.199999999997</v>
      </c>
      <c r="DM117" s="275">
        <f>SUM(RD[[#This Row],[IS10Inv1M1]:[IS11Inv1M4]],RD[[#This Row],[IS14Inv1M1]:[IS14Inv2M4]])</f>
        <v>165255.59999999998</v>
      </c>
      <c r="DN117" s="275">
        <f>SUM(RD[[#This Row],[IS12Inv1M1]:[IS12Inv1M4]])</f>
        <v>32111.3</v>
      </c>
      <c r="DO117" s="275">
        <f>SUM(RD[[#This Row],[IS13Inv1M1]:[IS13Inv2M2]])</f>
        <v>36347</v>
      </c>
      <c r="DP117" s="193">
        <f>SUM(RD[[#This Row],[O2R15]:[O2R26]])</f>
        <v>641706</v>
      </c>
      <c r="DQ117" s="158">
        <v>46343.6</v>
      </c>
      <c r="DR117" s="162">
        <v>232.5</v>
      </c>
      <c r="DS117" s="158">
        <v>40565.1</v>
      </c>
      <c r="DT117" s="158">
        <v>244.4</v>
      </c>
      <c r="DU117" s="162">
        <v>48086.5</v>
      </c>
      <c r="DV117" s="162">
        <v>459.4</v>
      </c>
      <c r="DW117" s="158">
        <v>11182.6</v>
      </c>
      <c r="DX117" s="162">
        <v>59.2</v>
      </c>
      <c r="DY117" s="162">
        <v>5411</v>
      </c>
      <c r="DZ117" s="162">
        <v>28.6</v>
      </c>
      <c r="EA117" s="134">
        <v>111.4</v>
      </c>
      <c r="EB117" s="230">
        <v>156001271</v>
      </c>
      <c r="EC117" s="229">
        <v>1099573.504</v>
      </c>
      <c r="ED117" s="230">
        <v>1319</v>
      </c>
      <c r="EE117" s="230">
        <v>150179</v>
      </c>
      <c r="EF117" s="158">
        <v>216276.3</v>
      </c>
      <c r="EG117" s="158">
        <v>2104.1999999999998</v>
      </c>
      <c r="EH117" s="140">
        <f>IF((RD[[#This Row],[33 kV_F3_Ex
Incomer1]]-DQ116)*1000&lt;0,0,(RD[[#This Row],[33 kV_F3_Ex
Incomer1]]-DQ116)*1000)</f>
        <v>124400.00000000146</v>
      </c>
      <c r="EI117" s="140">
        <f>IF((RD[[#This Row],[34 kV_F3_Im
Incomer1]]-DR116)*1000&lt;0,0,(RD[[#This Row],[34 kV_F3_Im
Incomer1]]-DR116)*1000)</f>
        <v>400.00000000000568</v>
      </c>
      <c r="EJ117" s="140">
        <f>IF((RD[[#This Row],[33 kV_F4_Ex
Incomer2]]-DS116)*1000&lt;0,0,(RD[[#This Row],[33 kV_F4_Ex
Incomer2]]-DS116)*1000)</f>
        <v>115199.99999999709</v>
      </c>
      <c r="EK117" s="140">
        <f>IF((RD[[#This Row],[34 kV_F4_Im
Incomer2]]-DT116)*1000&lt;0,0,(RD[[#This Row],[34 kV_F4_Im
Incomer2]]-DT116)*1000)</f>
        <v>400.00000000000568</v>
      </c>
      <c r="EL117" s="140">
        <f>IF((RD[[#This Row],[33 kV_F5_Ex
Incomer3]]-DU116)*1000&lt;0,0,(RD[[#This Row],[33 kV_F5_Ex
Incomer3]]-DU116)*1000)</f>
        <v>159599.99999999854</v>
      </c>
      <c r="EM117" s="140">
        <f>IF((RD[[#This Row],[34 kV_F5_Im
Incomer3]]-DV116)*1000&lt;0,0,(RD[[#This Row],[34 kV_F5_Im
Incomer3]]-DV116)*1000)</f>
        <v>699.99999999998863</v>
      </c>
      <c r="EN117" s="140">
        <f>IF((RD[[#This Row],[33 kV_F6_Ex
Incomer4]]-DW116)*1000&lt;0,0,(RD[[#This Row],[33 kV_F6_Ex
Incomer4]]-DW116)*1000)</f>
        <v>52800.000000001091</v>
      </c>
      <c r="EO117" s="140">
        <f t="shared" si="166"/>
        <v>300.00000000001137</v>
      </c>
      <c r="EP117" s="140">
        <f>IF((RD[[#This Row],[33 kV_F7_Ex
Incomer5]]-DY116)*1000&lt;0,0,(RD[[#This Row],[33 kV_F7_Ex
Incomer5]]-DY116)*1000)</f>
        <v>141899.99999999965</v>
      </c>
      <c r="EQ117" s="140">
        <f>IF((RD[[#This Row],[33 kV_F7_Im
Incomer5]]-DZ116)*1000&lt;0,0,(RD[[#This Row],[33 kV_F7_Im
Incomer5]]-DZ116)*1000)</f>
        <v>700.00000000000284</v>
      </c>
      <c r="ER117" s="140">
        <f>IF((RD[[#This Row],[33 kV_Aux Trafo]]-EA116)*1000&lt;0,0,(RD[[#This Row],[33 kV_Aux Trafo]]-EA116)*1000)</f>
        <v>330.00000000001251</v>
      </c>
      <c r="ES117" s="152">
        <f>IF((RD[[#This Row],[33kV_OG1_Ex_]]-EB116)*1&lt;0,0,(RD[[#This Row],[33kV_OG1_Ex_]]-EB116)*1)</f>
        <v>632094</v>
      </c>
      <c r="ET117" s="140">
        <f>IF((RD[[#This Row],[33kV_OG1_Im]]-EC116)*1&lt;0,0,(RD[[#This Row],[33kV_OG1_Im]]-EC116)*1)</f>
        <v>2783.3599999998696</v>
      </c>
      <c r="EU117" s="140">
        <f>IF((RD[[#This Row],[132kV_TX1_EX]]-ED116)*720&lt;=0,"",(RD[[#This Row],[132kV_TX1_EX]]-ED116)*720)</f>
        <v>2160</v>
      </c>
      <c r="EV117" s="140">
        <f>IF((RD[[#This Row],[132 kV_Tx1_Im]]-EE116)*720&lt;=0,0,(RD[[#This Row],[132 kV_Tx1_Im]]-EE116)*720)</f>
        <v>453600</v>
      </c>
      <c r="EW117" s="140">
        <f>IF((RD[[#This Row],[132kV_L1_Ex]]-EF116)*720&lt;=0,0,(RD[[#This Row],[132kV_L1_Ex]]-EF116)*720)</f>
        <v>630143.99999998743</v>
      </c>
      <c r="EX117" s="140">
        <f>IF((RD[[#This Row],[132kV_L1_Im]]-EG116)*720&lt;=0,0,(RD[[#This Row],[132kV_L1_Im]]-EG116)*720)</f>
        <v>3311.9999999999345</v>
      </c>
      <c r="EY117" s="316">
        <f>IFERROR(RD[[#This Row],[33kV_OG1_Ex (MWh)]]+RD[[#This Row],[33kV_OG1_Im (MWh)]],"")</f>
        <v>634877.35999999987</v>
      </c>
      <c r="EZ117" s="142">
        <f>RD[[#This Row],[33kV_OG1_Ex (MWh)]]-RD[[#This Row],[33kV_OG1_Im (MWh)]]</f>
        <v>629310.64000000013</v>
      </c>
      <c r="FA117" s="142">
        <f>IFERROR(RD[[#This Row],[132kV_L1_Ex(MWh)]]-RD[[#This Row],[132kV_L1_Im(MWh)]],"")</f>
        <v>626831.99999998754</v>
      </c>
      <c r="FB117" s="318">
        <f>IFERROR(RD[[#This Row],[33kV_Ex(MWh)]]/RD[[#This Row],[Inv Total Gneration (MWh)]]-1,"")</f>
        <v>-1.0641384060613657E-2</v>
      </c>
      <c r="FC117" s="319">
        <f>IFERROR((RD[[#This Row],[Sunset Time (POA&lt;20 W/m2)]]-RD[[#This Row],[Sunrise Time (POA&gt;20 W/m2)]])*24,0)</f>
        <v>12.65</v>
      </c>
      <c r="FD117" s="233">
        <v>128.08000000000001</v>
      </c>
      <c r="FE117" t="s">
        <v>294</v>
      </c>
      <c r="FG117" s="138" t="str">
        <f>IFERROR(RD[[#This Row],[E_AC (WPR)]]/RD[[#This Row],[E_DC (WPR)]],"")</f>
        <v/>
      </c>
    </row>
    <row r="118" spans="1:163">
      <c r="A118" s="130">
        <f t="shared" si="167"/>
        <v>45858</v>
      </c>
      <c r="B118" s="132">
        <f>YEAR(RD[[#This Row],[Date]])+IF(MONTH(RD[[#This Row],[Date]])&gt;=4,1,0)</f>
        <v>2026</v>
      </c>
      <c r="C118" s="132">
        <f>YEAR(RD[[#This Row],[Date]])</f>
        <v>2025</v>
      </c>
      <c r="D118" s="133">
        <f t="shared" si="169"/>
        <v>45839</v>
      </c>
      <c r="E118" s="132">
        <f>DAY(EOMONTH(RD[[#This Row],[Date]],0))</f>
        <v>31</v>
      </c>
      <c r="F118" s="146">
        <v>0.26111111111111113</v>
      </c>
      <c r="G118" s="156">
        <v>0.78125</v>
      </c>
      <c r="H118" s="121">
        <v>8463.2000000000007</v>
      </c>
      <c r="I118" s="257">
        <v>8425.4</v>
      </c>
      <c r="J118" s="121">
        <v>7902.9</v>
      </c>
      <c r="K118" s="121">
        <v>7882.2</v>
      </c>
      <c r="L118" s="121">
        <v>8047.4</v>
      </c>
      <c r="M118" s="121">
        <v>8316.6</v>
      </c>
      <c r="N118" s="121">
        <v>8146.7</v>
      </c>
      <c r="O118" s="121">
        <v>8913.7000000000007</v>
      </c>
      <c r="P118" s="121">
        <v>8164.9</v>
      </c>
      <c r="Q118" s="121">
        <v>8127.2</v>
      </c>
      <c r="R118" s="121">
        <v>8356</v>
      </c>
      <c r="S118" s="255">
        <v>8353.1</v>
      </c>
      <c r="T118" s="121">
        <v>8411.7999999999993</v>
      </c>
      <c r="U118" s="121">
        <v>8414.7000000000007</v>
      </c>
      <c r="V118" s="121">
        <v>8592</v>
      </c>
      <c r="W118" s="121">
        <v>8329</v>
      </c>
      <c r="X118" s="283">
        <v>11495.5</v>
      </c>
      <c r="Y118" s="192">
        <v>12578.8</v>
      </c>
      <c r="Z118" s="192">
        <v>11248.3</v>
      </c>
      <c r="AA118" s="192">
        <v>11692.8</v>
      </c>
      <c r="AB118" s="283">
        <v>12596.8</v>
      </c>
      <c r="AC118" s="192">
        <v>7802.3</v>
      </c>
      <c r="AD118" s="192">
        <v>11643.3</v>
      </c>
      <c r="AE118" s="192">
        <v>11738.4</v>
      </c>
      <c r="AF118" s="283">
        <v>11680.4</v>
      </c>
      <c r="AG118" s="192">
        <v>11677</v>
      </c>
      <c r="AH118" s="192">
        <v>11579.9</v>
      </c>
      <c r="AI118" s="283">
        <v>11667</v>
      </c>
      <c r="AJ118" s="136">
        <v>9334.9</v>
      </c>
      <c r="AK118" s="136">
        <v>9572.5</v>
      </c>
      <c r="AL118" s="136">
        <v>9578.6</v>
      </c>
      <c r="AM118" s="136">
        <v>9626.4</v>
      </c>
      <c r="AN118" s="136">
        <v>9651.9</v>
      </c>
      <c r="AO118" s="136">
        <v>9810.5</v>
      </c>
      <c r="AP118" s="136">
        <v>9845.9</v>
      </c>
      <c r="AQ118" s="136">
        <v>9726.1</v>
      </c>
      <c r="AR118" s="136">
        <v>7883.3</v>
      </c>
      <c r="AS118" s="136">
        <v>7959.7</v>
      </c>
      <c r="AT118" s="136">
        <v>7952</v>
      </c>
      <c r="AU118" s="136">
        <v>7840.2</v>
      </c>
      <c r="AV118" s="136">
        <v>8061.4</v>
      </c>
      <c r="AW118" s="136">
        <v>7961.3</v>
      </c>
      <c r="AX118" s="136">
        <v>11183.7</v>
      </c>
      <c r="AY118" s="136">
        <v>12600.8</v>
      </c>
      <c r="AZ118" s="136">
        <v>9353.1</v>
      </c>
      <c r="BA118" s="136">
        <v>11349.6</v>
      </c>
      <c r="BB118" s="136">
        <v>9783</v>
      </c>
      <c r="BC118" s="136">
        <v>9520</v>
      </c>
      <c r="BD118" s="136">
        <v>9800</v>
      </c>
      <c r="BE118" s="136">
        <v>10518.4</v>
      </c>
      <c r="BF118" s="136">
        <v>11742</v>
      </c>
      <c r="BG118" s="136">
        <v>11914</v>
      </c>
      <c r="BH118" s="136">
        <v>11640</v>
      </c>
      <c r="BI118" s="136">
        <v>11986</v>
      </c>
      <c r="BJ118" s="136">
        <v>7993</v>
      </c>
      <c r="BK118" s="136">
        <v>7412</v>
      </c>
      <c r="BL118" s="136">
        <v>7772</v>
      </c>
      <c r="BM118" s="136">
        <v>7697</v>
      </c>
      <c r="BN118" s="136">
        <v>8473</v>
      </c>
      <c r="BO118" s="136">
        <v>8164</v>
      </c>
      <c r="BP118" s="136">
        <v>8843</v>
      </c>
      <c r="BQ118" s="136">
        <v>8702</v>
      </c>
      <c r="BR118" s="136">
        <v>9071</v>
      </c>
      <c r="BS118" s="136">
        <v>9405</v>
      </c>
      <c r="BT118" s="136">
        <v>9223</v>
      </c>
      <c r="BU118" s="136">
        <v>9379</v>
      </c>
      <c r="BV118" s="192">
        <v>7061</v>
      </c>
      <c r="BW118" s="192">
        <v>7490</v>
      </c>
      <c r="BX118" s="192">
        <v>6964</v>
      </c>
      <c r="BY118" s="192">
        <v>8425</v>
      </c>
      <c r="BZ118" s="136">
        <v>7501</v>
      </c>
      <c r="CA118" s="136">
        <v>1103</v>
      </c>
      <c r="CB118" s="136">
        <v>7623</v>
      </c>
      <c r="CC118" s="136">
        <v>8216</v>
      </c>
      <c r="CD118" s="195">
        <v>5.87062379999999</v>
      </c>
      <c r="CE118" s="59">
        <v>6.3649530500000031</v>
      </c>
      <c r="CF118" s="195">
        <v>5.8054832833333361</v>
      </c>
      <c r="CG118" s="195">
        <v>6.3849603000000021</v>
      </c>
      <c r="CH118" s="195">
        <v>0.8568418499999999</v>
      </c>
      <c r="CI118" s="195">
        <v>0.90920971666666617</v>
      </c>
      <c r="CJ118" s="59">
        <v>1.2331949833333327</v>
      </c>
      <c r="CK118" s="59">
        <v>0.95186310000000007</v>
      </c>
      <c r="CL118" s="195">
        <v>28.80932829554995</v>
      </c>
      <c r="CM118" s="195">
        <v>28.750428211586886</v>
      </c>
      <c r="CN118" s="195">
        <v>44.135290512174656</v>
      </c>
      <c r="CO118" s="195">
        <v>41.626532325776694</v>
      </c>
      <c r="CP118" s="195">
        <v>70.905667506297348</v>
      </c>
      <c r="CQ118" s="195">
        <v>71.623669185558398</v>
      </c>
      <c r="CR118" s="195">
        <v>0</v>
      </c>
      <c r="CS118" s="59">
        <v>0</v>
      </c>
      <c r="CT118" s="195">
        <v>0.87142569269521486</v>
      </c>
      <c r="CU118" s="195">
        <v>0.89578589420655019</v>
      </c>
      <c r="CV118" s="195">
        <v>2.4420000000000002</v>
      </c>
      <c r="CW118" s="247">
        <v>2.1120000000000001</v>
      </c>
      <c r="CX118" s="193">
        <f>IFERROR(AVERAGEIF(RD[[#This Row],[IS1POA1 (KWh/m2)]:[IS7POA2 (KWh/m2)]],"&lt;&gt;0",RD[[#This Row],[IS1POA1 (KWh/m2)]:[IS7POA2 (KWh/m2)]]),"")</f>
        <v>6.117788424999997</v>
      </c>
      <c r="CY118" s="193">
        <f>IFERROR(AVERAGEIF(RD[[#This Row],[IS1GHI1 (KWh/m2)]:[IS7GHI2 (KWh/m2)]],"&lt;&gt;0",RD[[#This Row],[IS1GHI1 (KWh/m2)]:[IS7GHI2 (KWh/m2)]]),"")</f>
        <v>6.0952217916666687</v>
      </c>
      <c r="CZ118" s="193">
        <f>IFERROR(AVERAGEIF(RD[[#This Row],[IS1POA_BS1 (KWh/m2)]:[IS7POA_BS2 (KWh/m2)]],"&lt;&gt;0",RD[[#This Row],[IS1POA_BS1 (KWh/m2)]:[IS7POA_BS2 (KWh/m2)]]),"")</f>
        <v>0.88302578333333304</v>
      </c>
      <c r="DA118" s="193">
        <f>IFERROR(AVERAGEIF(RD[[#This Row],[IS1GHI_BS1 (KWh/m2)]:[IS1GHI_BS1 (KWh/m2)2]],"&lt;&gt;0",RD[[#This Row],[IS1GHI_BS1 (KWh/m2)]:[IS1GHI_BS1 (KWh/m2)2]]),"")</f>
        <v>1.0925290416666664</v>
      </c>
      <c r="DB118" s="193">
        <f>IFERROR(AVERAGEIF(RD[[#This Row],[IS1AT1 (°C)]:[IS7AT2 (°C)]],"&lt;&gt;0",RD[[#This Row],[IS1AT1 (°C)]:[IS7AT2 (°C)]]),"")</f>
        <v>28.77987825356842</v>
      </c>
      <c r="DC118" s="193">
        <f>IFERROR(AVERAGEIF(RD[[#This Row],[IS1MT1 (°C)]:[IS7MT2 (°C)]],"&lt;&gt;0",RD[[#This Row],[IS1MT1 (°C)]:[IS7MT2 (°C)]]),"")</f>
        <v>42.880911418975671</v>
      </c>
      <c r="DD118" s="193">
        <f>IFERROR(AVERAGEIF(RD[[#This Row],[IS1RH1 (%)]:[IS7RH2 (%)]],"&lt;&gt;0",RD[[#This Row],[IS1RH1 (%)]:[IS7RH2 (%)]]),"")</f>
        <v>71.264668345927873</v>
      </c>
      <c r="DE118" s="193" t="str">
        <f>IFERROR(AVERAGEIF(RD[[#This Row],[IS1Rain1 (mm)]:[IS7Rain2 (mm)]],"&lt;&gt;0",RD[[#This Row],[IS1Rain1 (mm)]:[IS7Rain2 (mm)]]),"")</f>
        <v/>
      </c>
      <c r="DF118" s="193">
        <f>IFERROR(AVERAGEIF(RD[[#This Row],[WS_Solar1_Avg (m/s)]:[IS7_WS_Solar1_Avg (m/s)]],"&lt;&gt;0",RD[[#This Row],[WS_Solar1_Avg (m/s)]:[IS7_WS_Solar1_Avg (m/s)]]),"")</f>
        <v>0.88360579345088253</v>
      </c>
      <c r="DG118" s="193">
        <f>IFERROR(AVERAGEIF(RD[[#This Row],[WS_Solar1_Max (m/s)]:[IS7_WS_Solar1_Max (m/s)]],"&lt;&gt;0",RD[[#This Row],[WS_Solar1_Max (m/s)]:[IS7_WS_Solar1_Max (m/s)]]),"")</f>
        <v>2.2770000000000001</v>
      </c>
      <c r="DH118" s="193">
        <f>SUM(RD[[#This Row],[IS1Inv1M1]:[IS4Inv4M2]])</f>
        <v>270247.29999999993</v>
      </c>
      <c r="DI118" s="194">
        <f>SUM(RD[[#This Row],[IS7Inv1M1]]+RD[[#This Row],[IS7Inv2M1]])</f>
        <v>15843</v>
      </c>
      <c r="DJ118" s="193">
        <f>SUM(RD[[#This Row],[IS5Inv1M1]:[IS5Inv2M2]])</f>
        <v>38112.400000000001</v>
      </c>
      <c r="DK118" s="193">
        <f>SUM(RD[[#This Row],[IS8Inv1M1]:[IS9Inv2M2]])</f>
        <v>76302.099999999991</v>
      </c>
      <c r="DL118" s="60">
        <f>SUM(RD[[#This Row],[IS6Inv1M1]:[IS6Inv2M2]])</f>
        <v>39034.400000000001</v>
      </c>
      <c r="DM118" s="275">
        <f>SUM(RD[[#This Row],[IS10Inv1M1]:[IS11Inv1M4]],RD[[#This Row],[IS14Inv1M1]:[IS14Inv2M4]])</f>
        <v>172160.4</v>
      </c>
      <c r="DN118" s="275">
        <f>SUM(RD[[#This Row],[IS12Inv1M1]:[IS12Inv1M4]])</f>
        <v>34182</v>
      </c>
      <c r="DO118" s="275">
        <f>SUM(RD[[#This Row],[IS13Inv1M1]:[IS13Inv2M2]])</f>
        <v>37078</v>
      </c>
      <c r="DP118" s="193">
        <f>SUM(RD[[#This Row],[O2R15]:[O2R26]])</f>
        <v>682959.6</v>
      </c>
      <c r="DQ118" s="158">
        <v>46480</v>
      </c>
      <c r="DR118" s="162">
        <v>232.9</v>
      </c>
      <c r="DS118" s="158">
        <v>40691.599999999999</v>
      </c>
      <c r="DT118" s="158">
        <v>244.7</v>
      </c>
      <c r="DU118" s="162">
        <v>48253.599999999999</v>
      </c>
      <c r="DV118" s="162">
        <v>460</v>
      </c>
      <c r="DW118" s="158">
        <v>11235.7</v>
      </c>
      <c r="DX118" s="162">
        <v>59.4</v>
      </c>
      <c r="DY118" s="162">
        <v>5559.3</v>
      </c>
      <c r="DZ118" s="162">
        <v>29.3</v>
      </c>
      <c r="EA118" s="134">
        <v>111.72</v>
      </c>
      <c r="EB118" s="230">
        <v>156672278</v>
      </c>
      <c r="EC118" s="229">
        <v>1102090.112</v>
      </c>
      <c r="ED118" s="230">
        <v>1323</v>
      </c>
      <c r="EE118" s="230">
        <v>150847</v>
      </c>
      <c r="EF118" s="158">
        <v>217205.2</v>
      </c>
      <c r="EG118" s="158">
        <v>2108.5</v>
      </c>
      <c r="EH118" s="140">
        <f>IF((RD[[#This Row],[33 kV_F3_Ex
Incomer1]]-DQ117)*1000&lt;0,0,(RD[[#This Row],[33 kV_F3_Ex
Incomer1]]-DQ117)*1000)</f>
        <v>136400.00000000146</v>
      </c>
      <c r="EI118" s="140">
        <f>IF((RD[[#This Row],[34 kV_F3_Im
Incomer1]]-DR117)*1000&lt;0,0,(RD[[#This Row],[34 kV_F3_Im
Incomer1]]-DR117)*1000)</f>
        <v>400.00000000000568</v>
      </c>
      <c r="EJ118" s="140">
        <f>IF((RD[[#This Row],[33 kV_F4_Ex
Incomer2]]-DS117)*1000&lt;0,0,(RD[[#This Row],[33 kV_F4_Ex
Incomer2]]-DS117)*1000)</f>
        <v>126500</v>
      </c>
      <c r="EK118" s="140">
        <f>IF((RD[[#This Row],[34 kV_F4_Im
Incomer2]]-DT117)*1000&lt;0,0,(RD[[#This Row],[34 kV_F4_Im
Incomer2]]-DT117)*1000)</f>
        <v>299.99999999998295</v>
      </c>
      <c r="EL118" s="140">
        <f>IF((RD[[#This Row],[33 kV_F5_Ex
Incomer3]]-DU117)*1000&lt;0,0,(RD[[#This Row],[33 kV_F5_Ex
Incomer3]]-DU117)*1000)</f>
        <v>167099.99999999854</v>
      </c>
      <c r="EM118" s="140">
        <f>IF((RD[[#This Row],[34 kV_F5_Im
Incomer3]]-DV117)*1000&lt;0,0,(RD[[#This Row],[34 kV_F5_Im
Incomer3]]-DV117)*1000)</f>
        <v>600.00000000002274</v>
      </c>
      <c r="EN118" s="140">
        <f>IF((RD[[#This Row],[33 kV_F6_Ex
Incomer4]]-DW117)*1000&lt;0,0,(RD[[#This Row],[33 kV_F6_Ex
Incomer4]]-DW117)*1000)</f>
        <v>53100.000000000364</v>
      </c>
      <c r="EO118" s="140">
        <f t="shared" si="166"/>
        <v>399.99999999997726</v>
      </c>
      <c r="EP118" s="140">
        <f>IF((RD[[#This Row],[33 kV_F7_Ex
Incomer5]]-DY117)*1000&lt;0,0,(RD[[#This Row],[33 kV_F7_Ex
Incomer5]]-DY117)*1000)</f>
        <v>148300.00000000017</v>
      </c>
      <c r="EQ118" s="140">
        <f>IF((RD[[#This Row],[33 kV_F7_Im
Incomer5]]-DZ117)*1000&lt;0,0,(RD[[#This Row],[33 kV_F7_Im
Incomer5]]-DZ117)*1000)</f>
        <v>699.99999999999932</v>
      </c>
      <c r="ER118" s="140">
        <f>IF((RD[[#This Row],[33 kV_Aux Trafo]]-EA117)*1000&lt;0,0,(RD[[#This Row],[33 kV_Aux Trafo]]-EA117)*1000)</f>
        <v>319.99999999999318</v>
      </c>
      <c r="ES118" s="152">
        <f>IF((RD[[#This Row],[33kV_OG1_Ex_]]-EB117)*1&lt;0,0,(RD[[#This Row],[33kV_OG1_Ex_]]-EB117)*1)</f>
        <v>671007</v>
      </c>
      <c r="ET118" s="140">
        <f>IF((RD[[#This Row],[33kV_OG1_Im]]-EC117)*1&lt;0,0,(RD[[#This Row],[33kV_OG1_Im]]-EC117)*1)</f>
        <v>2516.6080000000075</v>
      </c>
      <c r="EU118" s="140">
        <f>IF((RD[[#This Row],[132kV_TX1_EX]]-ED117)*720&lt;=0,"",(RD[[#This Row],[132kV_TX1_EX]]-ED117)*720)</f>
        <v>2880</v>
      </c>
      <c r="EV118" s="140">
        <f>IF((RD[[#This Row],[132 kV_Tx1_Im]]-EE117)*720&lt;=0,0,(RD[[#This Row],[132 kV_Tx1_Im]]-EE117)*720)</f>
        <v>480960</v>
      </c>
      <c r="EW118" s="140">
        <f>IF((RD[[#This Row],[132kV_L1_Ex]]-EF117)*720&lt;=0,0,(RD[[#This Row],[132kV_L1_Ex]]-EF117)*720)</f>
        <v>668808.00000001676</v>
      </c>
      <c r="EX118" s="140">
        <f>IF((RD[[#This Row],[132kV_L1_Im]]-EG117)*720&lt;=0,0,(RD[[#This Row],[132kV_L1_Im]]-EG117)*720)</f>
        <v>3096.000000000131</v>
      </c>
      <c r="EY118" s="316">
        <f>IFERROR(RD[[#This Row],[33kV_OG1_Ex (MWh)]]+RD[[#This Row],[33kV_OG1_Im (MWh)]],"")</f>
        <v>673523.60800000001</v>
      </c>
      <c r="EZ118" s="142">
        <f>RD[[#This Row],[33kV_OG1_Ex (MWh)]]-RD[[#This Row],[33kV_OG1_Im (MWh)]]</f>
        <v>668490.39199999999</v>
      </c>
      <c r="FA118" s="142">
        <f>IFERROR(RD[[#This Row],[132kV_L1_Ex(MWh)]]-RD[[#This Row],[132kV_L1_Im(MWh)]],"")</f>
        <v>665712.00000001665</v>
      </c>
      <c r="FB118" s="318">
        <f>IFERROR(RD[[#This Row],[33kV_Ex(MWh)]]/RD[[#This Row],[Inv Total Gneration (MWh)]]-1,"")</f>
        <v>-1.3816325299475962E-2</v>
      </c>
      <c r="FC118" s="319">
        <f>IFERROR((RD[[#This Row],[Sunset Time (POA&lt;20 W/m2)]]-RD[[#This Row],[Sunrise Time (POA&gt;20 W/m2)]])*24,0)</f>
        <v>12.483333333333334</v>
      </c>
      <c r="FD118" s="233">
        <v>128.08000000000001</v>
      </c>
      <c r="FE118" t="s">
        <v>294</v>
      </c>
      <c r="FG118" s="138" t="str">
        <f>IFERROR(RD[[#This Row],[E_AC (WPR)]]/RD[[#This Row],[E_DC (WPR)]],"")</f>
        <v/>
      </c>
    </row>
    <row r="119" spans="1:163">
      <c r="A119" s="130">
        <f t="shared" si="167"/>
        <v>45859</v>
      </c>
      <c r="B119" s="132">
        <f>YEAR(RD[[#This Row],[Date]])+IF(MONTH(RD[[#This Row],[Date]])&gt;=4,1,0)</f>
        <v>2026</v>
      </c>
      <c r="C119" s="132">
        <f>YEAR(RD[[#This Row],[Date]])</f>
        <v>2025</v>
      </c>
      <c r="D119" s="133">
        <f t="shared" si="169"/>
        <v>45839</v>
      </c>
      <c r="E119" s="132">
        <f>DAY(EOMONTH(RD[[#This Row],[Date]],0))</f>
        <v>31</v>
      </c>
      <c r="F119" s="146">
        <v>0.25972222222222224</v>
      </c>
      <c r="G119" s="156">
        <v>0.78263888888888888</v>
      </c>
      <c r="H119" s="121">
        <v>7240.2</v>
      </c>
      <c r="I119" s="257">
        <v>7186</v>
      </c>
      <c r="J119" s="121">
        <v>6835.7</v>
      </c>
      <c r="K119" s="121">
        <v>6909.3</v>
      </c>
      <c r="L119" s="121">
        <v>7066.7</v>
      </c>
      <c r="M119" s="121">
        <v>7269.6</v>
      </c>
      <c r="N119" s="121">
        <v>7090.4</v>
      </c>
      <c r="O119" s="121">
        <v>7575</v>
      </c>
      <c r="P119" s="121">
        <v>7024.1</v>
      </c>
      <c r="Q119" s="121">
        <v>6988</v>
      </c>
      <c r="R119" s="121">
        <v>7073</v>
      </c>
      <c r="S119" s="255">
        <v>6971.8</v>
      </c>
      <c r="T119" s="121">
        <v>7178.8</v>
      </c>
      <c r="U119" s="121">
        <v>7088</v>
      </c>
      <c r="V119" s="121">
        <v>7380.1</v>
      </c>
      <c r="W119" s="121">
        <v>7100.7</v>
      </c>
      <c r="X119" s="283">
        <v>9557.1</v>
      </c>
      <c r="Y119" s="192">
        <v>10434.200000000001</v>
      </c>
      <c r="Z119" s="192">
        <v>9573.5</v>
      </c>
      <c r="AA119" s="192">
        <v>9918.2000000000007</v>
      </c>
      <c r="AB119" s="283">
        <v>9880.7999999999993</v>
      </c>
      <c r="AC119" s="192">
        <v>6268</v>
      </c>
      <c r="AD119" s="192">
        <v>9311</v>
      </c>
      <c r="AE119" s="192">
        <v>9578.7000000000007</v>
      </c>
      <c r="AF119" s="283">
        <v>9193.7999999999993</v>
      </c>
      <c r="AG119" s="192">
        <v>9217</v>
      </c>
      <c r="AH119" s="192">
        <v>9269.7000000000007</v>
      </c>
      <c r="AI119" s="283">
        <v>9486.9</v>
      </c>
      <c r="AJ119" s="136">
        <v>7835.3</v>
      </c>
      <c r="AK119" s="136">
        <v>8107.5</v>
      </c>
      <c r="AL119" s="136">
        <v>8112.7</v>
      </c>
      <c r="AM119" s="136">
        <v>8186</v>
      </c>
      <c r="AN119" s="136">
        <v>8192.4</v>
      </c>
      <c r="AO119" s="136">
        <v>8367</v>
      </c>
      <c r="AP119" s="136">
        <v>8377.6</v>
      </c>
      <c r="AQ119" s="136">
        <v>8278.9</v>
      </c>
      <c r="AR119" s="136">
        <v>6603.4</v>
      </c>
      <c r="AS119" s="136">
        <v>6641.2</v>
      </c>
      <c r="AT119" s="136">
        <v>6650</v>
      </c>
      <c r="AU119" s="136">
        <v>6539.5</v>
      </c>
      <c r="AV119" s="136">
        <v>6728.7</v>
      </c>
      <c r="AW119" s="136">
        <v>6634.5</v>
      </c>
      <c r="AX119" s="136">
        <v>9401.2000000000007</v>
      </c>
      <c r="AY119" s="136">
        <v>10437</v>
      </c>
      <c r="AZ119" s="136">
        <v>7809.4</v>
      </c>
      <c r="BA119" s="136">
        <v>9452.1</v>
      </c>
      <c r="BB119" s="136">
        <v>8361</v>
      </c>
      <c r="BC119" s="136">
        <v>8098</v>
      </c>
      <c r="BD119" s="136">
        <v>8504</v>
      </c>
      <c r="BE119" s="136">
        <v>9300</v>
      </c>
      <c r="BF119" s="136">
        <v>9961.4</v>
      </c>
      <c r="BG119" s="136">
        <v>10034.799999999999</v>
      </c>
      <c r="BH119" s="136">
        <v>10006.1</v>
      </c>
      <c r="BI119" s="136">
        <v>10291.6</v>
      </c>
      <c r="BJ119" s="136">
        <v>6617.2</v>
      </c>
      <c r="BK119" s="136">
        <v>5301.1</v>
      </c>
      <c r="BL119" s="136">
        <v>6413.7</v>
      </c>
      <c r="BM119" s="136">
        <v>6351.8</v>
      </c>
      <c r="BN119" s="136">
        <v>6969.7</v>
      </c>
      <c r="BO119" s="136">
        <v>6730.1</v>
      </c>
      <c r="BP119" s="136">
        <v>7237</v>
      </c>
      <c r="BQ119" s="136">
        <v>7120.1</v>
      </c>
      <c r="BR119" s="136">
        <v>7452</v>
      </c>
      <c r="BS119" s="136">
        <v>7768</v>
      </c>
      <c r="BT119" s="136">
        <v>7955</v>
      </c>
      <c r="BU119" s="136">
        <v>8047</v>
      </c>
      <c r="BV119" s="192">
        <v>6381.7</v>
      </c>
      <c r="BW119" s="192">
        <v>6201.3</v>
      </c>
      <c r="BX119" s="192">
        <v>5564.2</v>
      </c>
      <c r="BY119" s="192">
        <v>6615.3</v>
      </c>
      <c r="BZ119" s="136">
        <v>5875.9</v>
      </c>
      <c r="CA119" s="136">
        <v>838.1</v>
      </c>
      <c r="CB119" s="136">
        <v>6098.8</v>
      </c>
      <c r="CC119" s="136">
        <v>6637.8</v>
      </c>
      <c r="CD119" s="195">
        <v>5.4181917666666601</v>
      </c>
      <c r="CE119" s="59">
        <v>5.3486366666659997</v>
      </c>
      <c r="CF119" s="195">
        <v>5.0549398000000023</v>
      </c>
      <c r="CG119" s="195">
        <v>5.4252783333333356</v>
      </c>
      <c r="CH119" s="195">
        <v>0.70235693333333338</v>
      </c>
      <c r="CI119" s="195">
        <v>0.8127418833333333</v>
      </c>
      <c r="CJ119" s="59">
        <v>1.0713931166666664</v>
      </c>
      <c r="CK119" s="59">
        <v>0.79315536666666742</v>
      </c>
      <c r="CL119" s="195">
        <v>29.115933219178071</v>
      </c>
      <c r="CM119" s="195">
        <v>29.103287671232852</v>
      </c>
      <c r="CN119" s="195">
        <v>43.957460616438361</v>
      </c>
      <c r="CO119" s="195">
        <v>41.308110445205465</v>
      </c>
      <c r="CP119" s="195">
        <v>75.355607876712327</v>
      </c>
      <c r="CQ119" s="195">
        <v>75.931652397260237</v>
      </c>
      <c r="CR119" s="195">
        <v>0</v>
      </c>
      <c r="CS119" s="59">
        <v>0</v>
      </c>
      <c r="CT119" s="195">
        <v>1.0979589041095899</v>
      </c>
      <c r="CU119" s="195">
        <v>1.1146181506849306</v>
      </c>
      <c r="CV119" s="195">
        <v>2.3820000000000001</v>
      </c>
      <c r="CW119" s="247">
        <v>2.6640000000000001</v>
      </c>
      <c r="CX119" s="193">
        <f>IFERROR(AVERAGEIF(RD[[#This Row],[IS1POA1 (KWh/m2)]:[IS7POA2 (KWh/m2)]],"&lt;&gt;0",RD[[#This Row],[IS1POA1 (KWh/m2)]:[IS7POA2 (KWh/m2)]]),"")</f>
        <v>5.3834142166663295</v>
      </c>
      <c r="CY119" s="193">
        <f>IFERROR(AVERAGEIF(RD[[#This Row],[IS1GHI1 (KWh/m2)]:[IS7GHI2 (KWh/m2)]],"&lt;&gt;0",RD[[#This Row],[IS1GHI1 (KWh/m2)]:[IS7GHI2 (KWh/m2)]]),"")</f>
        <v>5.240109066666669</v>
      </c>
      <c r="CZ119" s="193">
        <f>IFERROR(AVERAGEIF(RD[[#This Row],[IS1POA_BS1 (KWh/m2)]:[IS7POA_BS2 (KWh/m2)]],"&lt;&gt;0",RD[[#This Row],[IS1POA_BS1 (KWh/m2)]:[IS7POA_BS2 (KWh/m2)]]),"")</f>
        <v>0.7575494083333334</v>
      </c>
      <c r="DA119" s="193">
        <f>IFERROR(AVERAGEIF(RD[[#This Row],[IS1GHI_BS1 (KWh/m2)]:[IS1GHI_BS1 (KWh/m2)2]],"&lt;&gt;0",RD[[#This Row],[IS1GHI_BS1 (KWh/m2)]:[IS1GHI_BS1 (KWh/m2)2]]),"")</f>
        <v>0.93227424166666695</v>
      </c>
      <c r="DB119" s="193">
        <f>IFERROR(AVERAGEIF(RD[[#This Row],[IS1AT1 (°C)]:[IS7AT2 (°C)]],"&lt;&gt;0",RD[[#This Row],[IS1AT1 (°C)]:[IS7AT2 (°C)]]),"")</f>
        <v>29.109610445205462</v>
      </c>
      <c r="DC119" s="193">
        <f>IFERROR(AVERAGEIF(RD[[#This Row],[IS1MT1 (°C)]:[IS7MT2 (°C)]],"&lt;&gt;0",RD[[#This Row],[IS1MT1 (°C)]:[IS7MT2 (°C)]]),"")</f>
        <v>42.632785530821913</v>
      </c>
      <c r="DD119" s="193">
        <f>IFERROR(AVERAGEIF(RD[[#This Row],[IS1RH1 (%)]:[IS7RH2 (%)]],"&lt;&gt;0",RD[[#This Row],[IS1RH1 (%)]:[IS7RH2 (%)]]),"")</f>
        <v>75.643630136986275</v>
      </c>
      <c r="DE119" s="193" t="str">
        <f>IFERROR(AVERAGEIF(RD[[#This Row],[IS1Rain1 (mm)]:[IS7Rain2 (mm)]],"&lt;&gt;0",RD[[#This Row],[IS1Rain1 (mm)]:[IS7Rain2 (mm)]]),"")</f>
        <v/>
      </c>
      <c r="DF119" s="193">
        <f>IFERROR(AVERAGEIF(RD[[#This Row],[WS_Solar1_Avg (m/s)]:[IS7_WS_Solar1_Avg (m/s)]],"&lt;&gt;0",RD[[#This Row],[WS_Solar1_Avg (m/s)]:[IS7_WS_Solar1_Avg (m/s)]]),"")</f>
        <v>1.1062885273972602</v>
      </c>
      <c r="DG119" s="193">
        <f>IFERROR(AVERAGEIF(RD[[#This Row],[WS_Solar1_Max (m/s)]:[IS7_WS_Solar1_Max (m/s)]],"&lt;&gt;0",RD[[#This Row],[WS_Solar1_Max (m/s)]:[IS7_WS_Solar1_Max (m/s)]]),"")</f>
        <v>2.5230000000000001</v>
      </c>
      <c r="DH119" s="193">
        <f>SUM(RD[[#This Row],[IS1Inv1M1]:[IS4Inv4M2]])</f>
        <v>225666.30000000002</v>
      </c>
      <c r="DI119" s="194">
        <f>SUM(RD[[#This Row],[IS7Inv1M1]]+RD[[#This Row],[IS7Inv2M1]])</f>
        <v>13244.599999999999</v>
      </c>
      <c r="DJ119" s="193">
        <f>SUM(RD[[#This Row],[IS5Inv1M1]:[IS5Inv2M2]])</f>
        <v>32241.5</v>
      </c>
      <c r="DK119" s="193">
        <f>SUM(RD[[#This Row],[IS8Inv1M1]:[IS9Inv2M2]])</f>
        <v>63652.4</v>
      </c>
      <c r="DL119" s="60">
        <f>SUM(RD[[#This Row],[IS6Inv1M1]:[IS6Inv2M2]])</f>
        <v>33215.9</v>
      </c>
      <c r="DM119" s="275">
        <f>SUM(RD[[#This Row],[IS10Inv1M1]:[IS11Inv1M4]],RD[[#This Row],[IS14Inv1M1]:[IS14Inv2M4]])</f>
        <v>143453.79999999999</v>
      </c>
      <c r="DN119" s="275">
        <f>SUM(RD[[#This Row],[IS12Inv1M1]:[IS12Inv1M4]])</f>
        <v>28056.9</v>
      </c>
      <c r="DO119" s="275">
        <f>SUM(RD[[#This Row],[IS13Inv1M1]:[IS13Inv2M2]])</f>
        <v>31222</v>
      </c>
      <c r="DP119" s="193">
        <f>SUM(RD[[#This Row],[O2R15]:[O2R26]])</f>
        <v>570753.4</v>
      </c>
      <c r="DQ119" s="158">
        <v>46591.1</v>
      </c>
      <c r="DR119" s="162">
        <v>233.3</v>
      </c>
      <c r="DS119" s="158">
        <v>40800.400000000001</v>
      </c>
      <c r="DT119" s="158">
        <v>245.1</v>
      </c>
      <c r="DU119" s="162">
        <v>48394.3</v>
      </c>
      <c r="DV119" s="162">
        <v>460.7</v>
      </c>
      <c r="DW119" s="158">
        <v>11279.2</v>
      </c>
      <c r="DX119" s="162">
        <v>59.6</v>
      </c>
      <c r="DY119" s="162">
        <v>5684.5</v>
      </c>
      <c r="DZ119" s="162">
        <v>29.8</v>
      </c>
      <c r="EA119" s="134">
        <v>112.04</v>
      </c>
      <c r="EB119" s="230">
        <v>157234855</v>
      </c>
      <c r="EC119" s="229">
        <v>1104586.368</v>
      </c>
      <c r="ED119" s="230">
        <v>1326</v>
      </c>
      <c r="EE119" s="230">
        <v>151407</v>
      </c>
      <c r="EF119" s="158">
        <v>217984</v>
      </c>
      <c r="EG119" s="158">
        <v>2112.6999999999998</v>
      </c>
      <c r="EH119" s="140">
        <f>IF((RD[[#This Row],[33 kV_F3_Ex
Incomer1]]-DQ118)*1000&lt;0,0,(RD[[#This Row],[33 kV_F3_Ex
Incomer1]]-DQ118)*1000)</f>
        <v>111099.99999999854</v>
      </c>
      <c r="EI119" s="140">
        <f>IF((RD[[#This Row],[34 kV_F3_Im
Incomer1]]-DR118)*1000&lt;0,0,(RD[[#This Row],[34 kV_F3_Im
Incomer1]]-DR118)*1000)</f>
        <v>400.00000000000568</v>
      </c>
      <c r="EJ119" s="140">
        <f>IF((RD[[#This Row],[33 kV_F4_Ex
Incomer2]]-DS118)*1000&lt;0,0,(RD[[#This Row],[33 kV_F4_Ex
Incomer2]]-DS118)*1000)</f>
        <v>108800.00000000291</v>
      </c>
      <c r="EK119" s="140">
        <f>IF((RD[[#This Row],[34 kV_F4_Im
Incomer2]]-DT118)*1000&lt;0,0,(RD[[#This Row],[34 kV_F4_Im
Incomer2]]-DT118)*1000)</f>
        <v>400.00000000000568</v>
      </c>
      <c r="EL119" s="140">
        <f>IF((RD[[#This Row],[33 kV_F5_Ex
Incomer3]]-DU118)*1000&lt;0,0,(RD[[#This Row],[33 kV_F5_Ex
Incomer3]]-DU118)*1000)</f>
        <v>140700.00000000437</v>
      </c>
      <c r="EM119" s="140">
        <f>IF((RD[[#This Row],[34 kV_F5_Im
Incomer3]]-DV118)*1000&lt;0,0,(RD[[#This Row],[34 kV_F5_Im
Incomer3]]-DV118)*1000)</f>
        <v>699.99999999998863</v>
      </c>
      <c r="EN119" s="140">
        <f>IF((RD[[#This Row],[33 kV_F6_Ex
Incomer4]]-DW118)*1000&lt;0,0,(RD[[#This Row],[33 kV_F6_Ex
Incomer4]]-DW118)*1000)</f>
        <v>43500</v>
      </c>
      <c r="EO119" s="140">
        <f t="shared" si="166"/>
        <v>300.00000000001137</v>
      </c>
      <c r="EP119" s="140">
        <f>IF((RD[[#This Row],[33 kV_F7_Ex
Incomer5]]-DY118)*1000&lt;0,0,(RD[[#This Row],[33 kV_F7_Ex
Incomer5]]-DY118)*1000)</f>
        <v>125199.99999999983</v>
      </c>
      <c r="EQ119" s="140">
        <f>IF((RD[[#This Row],[33 kV_F7_Im
Incomer5]]-DZ118)*1000&lt;0,0,(RD[[#This Row],[33 kV_F7_Im
Incomer5]]-DZ118)*1000)</f>
        <v>500</v>
      </c>
      <c r="ER119" s="140">
        <f>IF((RD[[#This Row],[33 kV_Aux Trafo]]-EA118)*1000&lt;0,0,(RD[[#This Row],[33 kV_Aux Trafo]]-EA118)*1000)</f>
        <v>320.00000000000739</v>
      </c>
      <c r="ES119" s="152">
        <f>IF((RD[[#This Row],[33kV_OG1_Ex_]]-EB118)*1&lt;0,0,(RD[[#This Row],[33kV_OG1_Ex_]]-EB118)*1)</f>
        <v>562577</v>
      </c>
      <c r="ET119" s="140">
        <f>IF((RD[[#This Row],[33kV_OG1_Im]]-EC118)*1&lt;0,0,(RD[[#This Row],[33kV_OG1_Im]]-EC118)*1)</f>
        <v>2496.2560000000522</v>
      </c>
      <c r="EU119" s="140">
        <f>IF((RD[[#This Row],[132kV_TX1_EX]]-ED118)*720&lt;=0,"",(RD[[#This Row],[132kV_TX1_EX]]-ED118)*720)</f>
        <v>2160</v>
      </c>
      <c r="EV119" s="140">
        <f>IF((RD[[#This Row],[132 kV_Tx1_Im]]-EE118)*720&lt;=0,0,(RD[[#This Row],[132 kV_Tx1_Im]]-EE118)*720)</f>
        <v>403200</v>
      </c>
      <c r="EW119" s="140">
        <f>IF((RD[[#This Row],[132kV_L1_Ex]]-EF118)*720&lt;=0,0,(RD[[#This Row],[132kV_L1_Ex]]-EF118)*720)</f>
        <v>560735.99999999162</v>
      </c>
      <c r="EX119" s="140">
        <f>IF((RD[[#This Row],[132kV_L1_Im]]-EG118)*720&lt;=0,0,(RD[[#This Row],[132kV_L1_Im]]-EG118)*720)</f>
        <v>3023.999999999869</v>
      </c>
      <c r="EY119" s="316">
        <f>IFERROR(RD[[#This Row],[33kV_OG1_Ex (MWh)]]+RD[[#This Row],[33kV_OG1_Im (MWh)]],"")</f>
        <v>565073.25600000005</v>
      </c>
      <c r="EZ119" s="142">
        <f>RD[[#This Row],[33kV_OG1_Ex (MWh)]]-RD[[#This Row],[33kV_OG1_Im (MWh)]]</f>
        <v>560080.74399999995</v>
      </c>
      <c r="FA119" s="142">
        <f>IFERROR(RD[[#This Row],[132kV_L1_Ex(MWh)]]-RD[[#This Row],[132kV_L1_Im(MWh)]],"")</f>
        <v>557711.99999999173</v>
      </c>
      <c r="FB119" s="318">
        <f>IFERROR(RD[[#This Row],[33kV_Ex(MWh)]]/RD[[#This Row],[Inv Total Gneration (MWh)]]-1,"")</f>
        <v>-9.9520107983587236E-3</v>
      </c>
      <c r="FC119" s="319">
        <f>IFERROR((RD[[#This Row],[Sunset Time (POA&lt;20 W/m2)]]-RD[[#This Row],[Sunrise Time (POA&gt;20 W/m2)]])*24,0)</f>
        <v>12.55</v>
      </c>
      <c r="FD119" s="233">
        <v>128.08000000000001</v>
      </c>
      <c r="FE119" t="s">
        <v>294</v>
      </c>
      <c r="FG119" s="138" t="str">
        <f>IFERROR(RD[[#This Row],[E_AC (WPR)]]/RD[[#This Row],[E_DC (WPR)]],"")</f>
        <v/>
      </c>
    </row>
    <row r="120" spans="1:163">
      <c r="A120" s="130">
        <f t="shared" si="167"/>
        <v>45860</v>
      </c>
      <c r="B120" s="132">
        <f>YEAR(RD[[#This Row],[Date]])+IF(MONTH(RD[[#This Row],[Date]])&gt;=4,1,0)</f>
        <v>2026</v>
      </c>
      <c r="C120" s="132">
        <f>YEAR(RD[[#This Row],[Date]])</f>
        <v>2025</v>
      </c>
      <c r="D120" s="133">
        <f t="shared" si="169"/>
        <v>45839</v>
      </c>
      <c r="E120" s="132">
        <f>DAY(EOMONTH(RD[[#This Row],[Date]],0))</f>
        <v>31</v>
      </c>
      <c r="F120" s="146">
        <v>0.27152777777777776</v>
      </c>
      <c r="G120" s="156">
        <v>0.77847222222222223</v>
      </c>
      <c r="H120" s="121">
        <v>5751.9</v>
      </c>
      <c r="I120" s="257">
        <v>5756.3</v>
      </c>
      <c r="J120" s="121">
        <v>5388.2</v>
      </c>
      <c r="K120" s="121">
        <v>5338.9</v>
      </c>
      <c r="L120" s="121">
        <v>5512.7</v>
      </c>
      <c r="M120" s="121">
        <v>5686.1</v>
      </c>
      <c r="N120" s="121">
        <v>5516.4</v>
      </c>
      <c r="O120" s="121">
        <v>6093.8</v>
      </c>
      <c r="P120" s="121">
        <v>5531</v>
      </c>
      <c r="Q120" s="121">
        <v>5449.3</v>
      </c>
      <c r="R120" s="121">
        <v>5618.6</v>
      </c>
      <c r="S120" s="255">
        <v>5609.5</v>
      </c>
      <c r="T120" s="121">
        <v>5730.1</v>
      </c>
      <c r="U120" s="121">
        <v>5841.2</v>
      </c>
      <c r="V120" s="121">
        <v>5844.5</v>
      </c>
      <c r="W120" s="121">
        <v>5604</v>
      </c>
      <c r="X120" s="283">
        <v>7621.1</v>
      </c>
      <c r="Y120" s="192">
        <v>2892.4</v>
      </c>
      <c r="Z120" s="192">
        <v>7607.9</v>
      </c>
      <c r="AA120" s="192">
        <v>7925.3</v>
      </c>
      <c r="AB120" s="283">
        <v>8677.6</v>
      </c>
      <c r="AC120" s="192">
        <v>5659.2</v>
      </c>
      <c r="AD120" s="192">
        <v>8274.7000000000007</v>
      </c>
      <c r="AE120" s="192">
        <v>8554</v>
      </c>
      <c r="AF120" s="283">
        <v>8169.2</v>
      </c>
      <c r="AG120" s="192">
        <v>8061</v>
      </c>
      <c r="AH120" s="192">
        <v>8170.2</v>
      </c>
      <c r="AI120" s="283">
        <v>8344.1</v>
      </c>
      <c r="AJ120" s="136">
        <v>6363.4</v>
      </c>
      <c r="AK120" s="136">
        <v>6556.6</v>
      </c>
      <c r="AL120" s="136">
        <v>6538.3</v>
      </c>
      <c r="AM120" s="136">
        <v>6565</v>
      </c>
      <c r="AN120" s="136">
        <v>6551.3</v>
      </c>
      <c r="AO120" s="136">
        <v>6661</v>
      </c>
      <c r="AP120" s="136">
        <v>6662.4</v>
      </c>
      <c r="AQ120" s="136">
        <v>6576.7</v>
      </c>
      <c r="AR120" s="136">
        <v>5223</v>
      </c>
      <c r="AS120" s="136">
        <v>5278.7</v>
      </c>
      <c r="AT120" s="136">
        <v>5308.3</v>
      </c>
      <c r="AU120" s="136">
        <v>5255.1</v>
      </c>
      <c r="AV120" s="136">
        <v>5371.3</v>
      </c>
      <c r="AW120" s="136">
        <v>5292.5</v>
      </c>
      <c r="AX120" s="136">
        <v>7344.9</v>
      </c>
      <c r="AY120" s="136">
        <v>8050</v>
      </c>
      <c r="AZ120" s="136">
        <v>5975.3</v>
      </c>
      <c r="BA120" s="136">
        <v>7287.6</v>
      </c>
      <c r="BB120" s="136">
        <v>6938.8</v>
      </c>
      <c r="BC120" s="136">
        <v>6678.4</v>
      </c>
      <c r="BD120" s="136">
        <v>6621</v>
      </c>
      <c r="BE120" s="136">
        <v>7288.3</v>
      </c>
      <c r="BF120" s="136">
        <v>7930.4</v>
      </c>
      <c r="BG120" s="136">
        <v>8061.6</v>
      </c>
      <c r="BH120" s="136">
        <v>7967.3</v>
      </c>
      <c r="BI120" s="136">
        <v>8153.8</v>
      </c>
      <c r="BJ120" s="136">
        <v>5361.9</v>
      </c>
      <c r="BK120" s="136">
        <v>4310.8</v>
      </c>
      <c r="BL120" s="136">
        <v>5169.3999999999996</v>
      </c>
      <c r="BM120" s="136">
        <v>5137.1000000000004</v>
      </c>
      <c r="BN120" s="136">
        <v>5590.5</v>
      </c>
      <c r="BO120" s="136">
        <v>5370.5</v>
      </c>
      <c r="BP120" s="136">
        <v>5812.4</v>
      </c>
      <c r="BQ120" s="136">
        <v>5765.9</v>
      </c>
      <c r="BR120" s="136">
        <v>5017.7</v>
      </c>
      <c r="BS120" s="136">
        <v>5228.3</v>
      </c>
      <c r="BT120" s="136">
        <v>5428.9</v>
      </c>
      <c r="BU120" s="136">
        <v>5396</v>
      </c>
      <c r="BV120" s="192">
        <v>5333.3</v>
      </c>
      <c r="BW120" s="192">
        <v>5119.3999999999996</v>
      </c>
      <c r="BX120" s="192">
        <v>4723.1000000000004</v>
      </c>
      <c r="BY120" s="192">
        <v>5418.3</v>
      </c>
      <c r="BZ120" s="136">
        <v>4858.3999999999996</v>
      </c>
      <c r="CA120" s="136">
        <v>682.2</v>
      </c>
      <c r="CB120" s="136">
        <v>4864.2</v>
      </c>
      <c r="CC120" s="136">
        <v>5319.6</v>
      </c>
      <c r="CD120" s="195">
        <v>4.7338956666666636</v>
      </c>
      <c r="CE120" s="59">
        <v>4.0544824499999992</v>
      </c>
      <c r="CF120" s="195">
        <v>3.7245472500000036</v>
      </c>
      <c r="CG120" s="195">
        <v>3.9918711166666685</v>
      </c>
      <c r="CH120" s="195">
        <v>0.54665163333333278</v>
      </c>
      <c r="CI120" s="195">
        <v>0.53157163333333313</v>
      </c>
      <c r="CJ120" s="59">
        <v>0.79256283333333299</v>
      </c>
      <c r="CK120" s="59">
        <v>0.54823323333333318</v>
      </c>
      <c r="CL120" s="195">
        <v>28.317500000000084</v>
      </c>
      <c r="CM120" s="195">
        <v>28.0536403508771</v>
      </c>
      <c r="CN120" s="195">
        <v>40.557335087719345</v>
      </c>
      <c r="CO120" s="195">
        <v>37.909699122807012</v>
      </c>
      <c r="CP120" s="195">
        <v>84.372482456140176</v>
      </c>
      <c r="CQ120" s="195">
        <v>84.194561403508729</v>
      </c>
      <c r="CR120" s="195">
        <v>0.38947368421052486</v>
      </c>
      <c r="CS120" s="59">
        <v>0.27368421052631381</v>
      </c>
      <c r="CT120" s="195">
        <v>1.3172473684210553</v>
      </c>
      <c r="CU120" s="195">
        <v>1.3457368421052609</v>
      </c>
      <c r="CV120" s="195">
        <v>2.4689999999999999</v>
      </c>
      <c r="CW120" s="247">
        <v>2.5470000000000002</v>
      </c>
      <c r="CX120" s="193">
        <f>IFERROR(AVERAGEIF(RD[[#This Row],[IS1POA1 (KWh/m2)]:[IS7POA2 (KWh/m2)]],"&lt;&gt;0",RD[[#This Row],[IS1POA1 (KWh/m2)]:[IS7POA2 (KWh/m2)]]),"")</f>
        <v>4.3941890583333318</v>
      </c>
      <c r="CY120" s="193">
        <f>IFERROR(AVERAGEIF(RD[[#This Row],[IS1GHI1 (KWh/m2)]:[IS7GHI2 (KWh/m2)]],"&lt;&gt;0",RD[[#This Row],[IS1GHI1 (KWh/m2)]:[IS7GHI2 (KWh/m2)]]),"")</f>
        <v>3.8582091833333361</v>
      </c>
      <c r="CZ120" s="193">
        <f>IFERROR(AVERAGEIF(RD[[#This Row],[IS1POA_BS1 (KWh/m2)]:[IS7POA_BS2 (KWh/m2)]],"&lt;&gt;0",RD[[#This Row],[IS1POA_BS1 (KWh/m2)]:[IS7POA_BS2 (KWh/m2)]]),"")</f>
        <v>0.53911163333333301</v>
      </c>
      <c r="DA120" s="193">
        <f>IFERROR(AVERAGEIF(RD[[#This Row],[IS1GHI_BS1 (KWh/m2)]:[IS1GHI_BS1 (KWh/m2)2]],"&lt;&gt;0",RD[[#This Row],[IS1GHI_BS1 (KWh/m2)]:[IS1GHI_BS1 (KWh/m2)2]]),"")</f>
        <v>0.67039803333333303</v>
      </c>
      <c r="DB120" s="193">
        <f>IFERROR(AVERAGEIF(RD[[#This Row],[IS1AT1 (°C)]:[IS7AT2 (°C)]],"&lt;&gt;0",RD[[#This Row],[IS1AT1 (°C)]:[IS7AT2 (°C)]]),"")</f>
        <v>28.185570175438592</v>
      </c>
      <c r="DC120" s="193">
        <f>IFERROR(AVERAGEIF(RD[[#This Row],[IS1MT1 (°C)]:[IS7MT2 (°C)]],"&lt;&gt;0",RD[[#This Row],[IS1MT1 (°C)]:[IS7MT2 (°C)]]),"")</f>
        <v>39.233517105263175</v>
      </c>
      <c r="DD120" s="193">
        <f>IFERROR(AVERAGEIF(RD[[#This Row],[IS1RH1 (%)]:[IS7RH2 (%)]],"&lt;&gt;0",RD[[#This Row],[IS1RH1 (%)]:[IS7RH2 (%)]]),"")</f>
        <v>84.283521929824445</v>
      </c>
      <c r="DE120" s="193">
        <f>IFERROR(AVERAGEIF(RD[[#This Row],[IS1Rain1 (mm)]:[IS7Rain2 (mm)]],"&lt;&gt;0",RD[[#This Row],[IS1Rain1 (mm)]:[IS7Rain2 (mm)]]),"")</f>
        <v>0.33157894736841931</v>
      </c>
      <c r="DF120" s="193">
        <f>IFERROR(AVERAGEIF(RD[[#This Row],[WS_Solar1_Avg (m/s)]:[IS7_WS_Solar1_Avg (m/s)]],"&lt;&gt;0",RD[[#This Row],[WS_Solar1_Avg (m/s)]:[IS7_WS_Solar1_Avg (m/s)]]),"")</f>
        <v>1.3314921052631581</v>
      </c>
      <c r="DG120" s="193">
        <f>IFERROR(AVERAGEIF(RD[[#This Row],[WS_Solar1_Max (m/s)]:[IS7_WS_Solar1_Max (m/s)]],"&lt;&gt;0",RD[[#This Row],[WS_Solar1_Max (m/s)]:[IS7_WS_Solar1_Max (m/s)]]),"")</f>
        <v>2.508</v>
      </c>
      <c r="DH120" s="193">
        <f>SUM(RD[[#This Row],[IS1Inv1M1]:[IS4Inv4M2]])</f>
        <v>180229.20000000004</v>
      </c>
      <c r="DI120" s="194">
        <f>SUM(RD[[#This Row],[IS7Inv1M1]]+RD[[#This Row],[IS7Inv2M1]])</f>
        <v>10501.7</v>
      </c>
      <c r="DJ120" s="193">
        <f>SUM(RD[[#This Row],[IS5Inv1M1]:[IS5Inv2M2]])</f>
        <v>26023.3</v>
      </c>
      <c r="DK120" s="193">
        <f>SUM(RD[[#This Row],[IS8Inv1M1]:[IS9Inv2M2]])</f>
        <v>49885</v>
      </c>
      <c r="DL120" s="60">
        <f>SUM(RD[[#This Row],[IS6Inv1M1]:[IS6Inv2M2]])</f>
        <v>26451.399999999998</v>
      </c>
      <c r="DM120" s="275">
        <f>SUM(RD[[#This Row],[IS10Inv1M1]:[IS11Inv1M4]],RD[[#This Row],[IS14Inv1M1]:[IS14Inv2M4]])</f>
        <v>115937.3</v>
      </c>
      <c r="DN120" s="275">
        <f>SUM(RD[[#This Row],[IS12Inv1M1]:[IS12Inv1M4]])</f>
        <v>22539.300000000003</v>
      </c>
      <c r="DO120" s="275">
        <f>SUM(RD[[#This Row],[IS13Inv1M1]:[IS13Inv2M2]])</f>
        <v>21070.9</v>
      </c>
      <c r="DP120" s="193">
        <f>SUM(RD[[#This Row],[O2R15]:[O2R26]])</f>
        <v>452638.10000000009</v>
      </c>
      <c r="DQ120" s="158">
        <v>46680.4</v>
      </c>
      <c r="DR120" s="162">
        <v>233.7</v>
      </c>
      <c r="DS120" s="158">
        <v>40887.1</v>
      </c>
      <c r="DT120" s="158">
        <v>245.4</v>
      </c>
      <c r="DU120" s="162">
        <v>48506.1</v>
      </c>
      <c r="DV120" s="162">
        <v>461.3</v>
      </c>
      <c r="DW120" s="158">
        <v>11315</v>
      </c>
      <c r="DX120" s="162">
        <v>59.8</v>
      </c>
      <c r="DY120" s="162">
        <v>5782.1</v>
      </c>
      <c r="DZ120" s="162">
        <v>30.3</v>
      </c>
      <c r="EA120" s="134">
        <v>112.33</v>
      </c>
      <c r="EB120" s="230">
        <v>157682204</v>
      </c>
      <c r="EC120" s="229">
        <v>1106871.5519999999</v>
      </c>
      <c r="ED120" s="230">
        <v>1328</v>
      </c>
      <c r="EE120" s="230">
        <v>151853</v>
      </c>
      <c r="EF120" s="158">
        <v>218603.4</v>
      </c>
      <c r="EG120" s="158">
        <v>2116.5</v>
      </c>
      <c r="EH120" s="140">
        <f>IF((RD[[#This Row],[33 kV_F3_Ex
Incomer1]]-DQ119)*1000&lt;0,0,(RD[[#This Row],[33 kV_F3_Ex
Incomer1]]-DQ119)*1000)</f>
        <v>89300.00000000291</v>
      </c>
      <c r="EI120" s="140">
        <f>IF((RD[[#This Row],[34 kV_F3_Im
Incomer1]]-DR119)*1000&lt;0,0,(RD[[#This Row],[34 kV_F3_Im
Incomer1]]-DR119)*1000)</f>
        <v>399.99999999997726</v>
      </c>
      <c r="EJ120" s="140">
        <f>IF((RD[[#This Row],[33 kV_F4_Ex
Incomer2]]-DS119)*1000&lt;0,0,(RD[[#This Row],[33 kV_F4_Ex
Incomer2]]-DS119)*1000)</f>
        <v>86699.99999999709</v>
      </c>
      <c r="EK120" s="140">
        <f>IF((RD[[#This Row],[34 kV_F4_Im
Incomer2]]-DT119)*1000&lt;0,0,(RD[[#This Row],[34 kV_F4_Im
Incomer2]]-DT119)*1000)</f>
        <v>300.00000000001137</v>
      </c>
      <c r="EL120" s="140">
        <f>IF((RD[[#This Row],[33 kV_F5_Ex
Incomer3]]-DU119)*1000&lt;0,0,(RD[[#This Row],[33 kV_F5_Ex
Incomer3]]-DU119)*1000)</f>
        <v>111799.99999999563</v>
      </c>
      <c r="EM120" s="140">
        <f>IF((RD[[#This Row],[34 kV_F5_Im
Incomer3]]-DV119)*1000&lt;0,0,(RD[[#This Row],[34 kV_F5_Im
Incomer3]]-DV119)*1000)</f>
        <v>600.00000000002274</v>
      </c>
      <c r="EN120" s="140">
        <f>IF((RD[[#This Row],[33 kV_F6_Ex
Incomer4]]-DW119)*1000&lt;0,0,(RD[[#This Row],[33 kV_F6_Ex
Incomer4]]-DW119)*1000)</f>
        <v>35799.999999999272</v>
      </c>
      <c r="EO120" s="140">
        <f t="shared" si="166"/>
        <v>400.00000000000568</v>
      </c>
      <c r="EP120" s="140">
        <f>IF((RD[[#This Row],[33 kV_F7_Ex
Incomer5]]-DY119)*1000&lt;0,0,(RD[[#This Row],[33 kV_F7_Ex
Incomer5]]-DY119)*1000)</f>
        <v>97600.000000000364</v>
      </c>
      <c r="EQ120" s="140">
        <f>IF((RD[[#This Row],[33 kV_F7_Im
Incomer5]]-DZ119)*1000&lt;0,0,(RD[[#This Row],[33 kV_F7_Im
Incomer5]]-DZ119)*1000)</f>
        <v>500</v>
      </c>
      <c r="ER120" s="140">
        <f>IF((RD[[#This Row],[33 kV_Aux Trafo]]-EA119)*1000&lt;0,0,(RD[[#This Row],[33 kV_Aux Trafo]]-EA119)*1000)</f>
        <v>289.99999999999204</v>
      </c>
      <c r="ES120" s="152">
        <f>IF((RD[[#This Row],[33kV_OG1_Ex_]]-EB119)*1&lt;0,0,(RD[[#This Row],[33kV_OG1_Ex_]]-EB119)*1)</f>
        <v>447349</v>
      </c>
      <c r="ET120" s="140">
        <f>IF((RD[[#This Row],[33kV_OG1_Im]]-EC119)*1&lt;0,0,(RD[[#This Row],[33kV_OG1_Im]]-EC119)*1)</f>
        <v>2285.183999999892</v>
      </c>
      <c r="EU120" s="140">
        <f>IF((RD[[#This Row],[132kV_TX1_EX]]-ED119)*720&lt;=0,"",(RD[[#This Row],[132kV_TX1_EX]]-ED119)*720)</f>
        <v>1440</v>
      </c>
      <c r="EV120" s="140">
        <f>IF((RD[[#This Row],[132 kV_Tx1_Im]]-EE119)*720&lt;=0,0,(RD[[#This Row],[132 kV_Tx1_Im]]-EE119)*720)</f>
        <v>321120</v>
      </c>
      <c r="EW120" s="140">
        <f>IF((RD[[#This Row],[132kV_L1_Ex]]-EF119)*720&lt;=0,0,(RD[[#This Row],[132kV_L1_Ex]]-EF119)*720)</f>
        <v>445967.99999999581</v>
      </c>
      <c r="EX120" s="140">
        <f>IF((RD[[#This Row],[132kV_L1_Im]]-EG119)*720&lt;=0,0,(RD[[#This Row],[132kV_L1_Im]]-EG119)*720)</f>
        <v>2736.000000000131</v>
      </c>
      <c r="EY120" s="316">
        <f>IFERROR(RD[[#This Row],[33kV_OG1_Ex (MWh)]]+RD[[#This Row],[33kV_OG1_Im (MWh)]],"")</f>
        <v>449634.18399999989</v>
      </c>
      <c r="EZ120" s="142">
        <f>RD[[#This Row],[33kV_OG1_Ex (MWh)]]-RD[[#This Row],[33kV_OG1_Im (MWh)]]</f>
        <v>445063.81600000011</v>
      </c>
      <c r="FA120" s="142">
        <f>IFERROR(RD[[#This Row],[132kV_L1_Ex(MWh)]]-RD[[#This Row],[132kV_L1_Im(MWh)]],"")</f>
        <v>443231.99999999569</v>
      </c>
      <c r="FB120" s="318">
        <f>IFERROR(RD[[#This Row],[33kV_Ex(MWh)]]/RD[[#This Row],[Inv Total Gneration (MWh)]]-1,"")</f>
        <v>-6.6364629932835761E-3</v>
      </c>
      <c r="FC120" s="319">
        <f>IFERROR((RD[[#This Row],[Sunset Time (POA&lt;20 W/m2)]]-RD[[#This Row],[Sunrise Time (POA&gt;20 W/m2)]])*24,0)</f>
        <v>12.166666666666666</v>
      </c>
      <c r="FD120" s="320">
        <v>129.05000000000001</v>
      </c>
      <c r="FE120" t="s">
        <v>1322</v>
      </c>
      <c r="FG120" s="138" t="str">
        <f>IFERROR(RD[[#This Row],[E_AC (WPR)]]/RD[[#This Row],[E_DC (WPR)]],"")</f>
        <v/>
      </c>
    </row>
    <row r="121" spans="1:163">
      <c r="A121" s="130">
        <f t="shared" si="167"/>
        <v>45861</v>
      </c>
      <c r="B121" s="132">
        <f>YEAR(RD[[#This Row],[Date]])+IF(MONTH(RD[[#This Row],[Date]])&gt;=4,1,0)</f>
        <v>2026</v>
      </c>
      <c r="C121" s="132">
        <f>YEAR(RD[[#This Row],[Date]])</f>
        <v>2025</v>
      </c>
      <c r="D121" s="133">
        <f t="shared" ref="D121:D135" si="171">A121-DAY(A121)+1</f>
        <v>45839</v>
      </c>
      <c r="E121" s="132">
        <f>DAY(EOMONTH(RD[[#This Row],[Date]],0))</f>
        <v>31</v>
      </c>
      <c r="F121" s="146">
        <v>0.27083333333333331</v>
      </c>
      <c r="G121" s="156">
        <v>0.77777777777777779</v>
      </c>
      <c r="H121" s="121">
        <v>4195.6000000000004</v>
      </c>
      <c r="I121" s="257">
        <v>4191.5</v>
      </c>
      <c r="J121" s="121">
        <v>3920.8</v>
      </c>
      <c r="K121" s="121">
        <v>3940.5</v>
      </c>
      <c r="L121" s="121">
        <v>4061.8</v>
      </c>
      <c r="M121" s="121">
        <v>4173.7</v>
      </c>
      <c r="N121" s="121">
        <v>4024.8</v>
      </c>
      <c r="O121" s="121">
        <v>4497.5</v>
      </c>
      <c r="P121" s="121">
        <v>4100.1000000000004</v>
      </c>
      <c r="Q121" s="121">
        <v>4061.3</v>
      </c>
      <c r="R121" s="121">
        <v>4186.1000000000004</v>
      </c>
      <c r="S121" s="255">
        <v>4181.8999999999996</v>
      </c>
      <c r="T121" s="121">
        <v>4200.5</v>
      </c>
      <c r="U121" s="121">
        <v>4270.3</v>
      </c>
      <c r="V121" s="121">
        <v>4300.3</v>
      </c>
      <c r="W121" s="121">
        <v>4100.5</v>
      </c>
      <c r="X121" s="283">
        <v>5828.9</v>
      </c>
      <c r="Y121" s="192">
        <v>5930.8</v>
      </c>
      <c r="Z121" s="192">
        <v>5618.6</v>
      </c>
      <c r="AA121" s="192">
        <v>5890</v>
      </c>
      <c r="AB121" s="283">
        <v>6467.5</v>
      </c>
      <c r="AC121" s="192">
        <v>3965.3</v>
      </c>
      <c r="AD121" s="192">
        <v>5951</v>
      </c>
      <c r="AE121" s="192">
        <v>6067.7</v>
      </c>
      <c r="AF121" s="283">
        <v>5963.8</v>
      </c>
      <c r="AG121" s="192">
        <v>5928</v>
      </c>
      <c r="AH121" s="192">
        <v>5930</v>
      </c>
      <c r="AI121" s="283">
        <v>5950.2</v>
      </c>
      <c r="AJ121" s="136">
        <v>4807.2</v>
      </c>
      <c r="AK121" s="136">
        <v>4961.8</v>
      </c>
      <c r="AL121" s="136">
        <v>4945.8999999999996</v>
      </c>
      <c r="AM121" s="136">
        <v>4977.3999999999996</v>
      </c>
      <c r="AN121" s="136">
        <v>4966.8</v>
      </c>
      <c r="AO121" s="136">
        <v>5061.5</v>
      </c>
      <c r="AP121" s="136">
        <v>5067.2</v>
      </c>
      <c r="AQ121" s="136">
        <v>5008.6000000000004</v>
      </c>
      <c r="AR121" s="136">
        <v>3978.9</v>
      </c>
      <c r="AS121" s="136">
        <v>3993.6</v>
      </c>
      <c r="AT121" s="136">
        <v>4036.2</v>
      </c>
      <c r="AU121" s="136">
        <v>3987.8</v>
      </c>
      <c r="AV121" s="136">
        <v>4077.1</v>
      </c>
      <c r="AW121" s="136">
        <v>4004.1</v>
      </c>
      <c r="AX121" s="136">
        <v>5708.9</v>
      </c>
      <c r="AY121" s="136">
        <v>6472.3</v>
      </c>
      <c r="AZ121" s="136">
        <v>4649.6000000000004</v>
      </c>
      <c r="BA121" s="136">
        <v>5670.7</v>
      </c>
      <c r="BB121" s="136">
        <v>5932.1</v>
      </c>
      <c r="BC121" s="136">
        <v>5664.1</v>
      </c>
      <c r="BD121" s="136">
        <v>5085.7</v>
      </c>
      <c r="BE121" s="136">
        <v>5574</v>
      </c>
      <c r="BF121" s="136">
        <v>5967.2</v>
      </c>
      <c r="BG121" s="136">
        <v>6052.7</v>
      </c>
      <c r="BH121" s="136">
        <v>6038.9</v>
      </c>
      <c r="BI121" s="136">
        <v>6215.4</v>
      </c>
      <c r="BJ121" s="136">
        <v>3970.9</v>
      </c>
      <c r="BK121" s="136">
        <v>3140.4</v>
      </c>
      <c r="BL121" s="136">
        <v>3769.2</v>
      </c>
      <c r="BM121" s="136">
        <v>3789.5</v>
      </c>
      <c r="BN121" s="136">
        <v>4229.8</v>
      </c>
      <c r="BO121" s="136">
        <v>4050.8</v>
      </c>
      <c r="BP121" s="136">
        <v>4463.2</v>
      </c>
      <c r="BQ121" s="136">
        <v>4368.7</v>
      </c>
      <c r="BR121" s="136">
        <v>4614.5</v>
      </c>
      <c r="BS121" s="136">
        <v>4797.6000000000004</v>
      </c>
      <c r="BT121" s="136">
        <v>4946.8999999999996</v>
      </c>
      <c r="BU121" s="136">
        <v>4959.8999999999996</v>
      </c>
      <c r="BV121" s="192">
        <v>4265.2</v>
      </c>
      <c r="BW121" s="192">
        <v>4064.7</v>
      </c>
      <c r="BX121" s="192">
        <v>3730.9</v>
      </c>
      <c r="BY121" s="192">
        <v>4353</v>
      </c>
      <c r="BZ121" s="136">
        <v>3679.9</v>
      </c>
      <c r="CA121" s="136">
        <v>510.9</v>
      </c>
      <c r="CB121" s="136">
        <v>3833.3</v>
      </c>
      <c r="CC121" s="136">
        <v>4115</v>
      </c>
      <c r="CD121" s="195">
        <v>3.3150214166666654</v>
      </c>
      <c r="CE121" s="59">
        <v>2.9626332</v>
      </c>
      <c r="CF121" s="195">
        <v>2.59069421666667</v>
      </c>
      <c r="CG121" s="195">
        <v>2.9793357166666667</v>
      </c>
      <c r="CH121" s="195">
        <v>0.41328353333333318</v>
      </c>
      <c r="CI121" s="195">
        <v>0.40667351666666657</v>
      </c>
      <c r="CJ121" s="59">
        <v>0.56878370000000034</v>
      </c>
      <c r="CK121" s="59">
        <v>0.4120173000000002</v>
      </c>
      <c r="CL121" s="195">
        <v>26.767625649913356</v>
      </c>
      <c r="CM121" s="195">
        <v>26.576525129982652</v>
      </c>
      <c r="CN121" s="195">
        <v>36.660571057192428</v>
      </c>
      <c r="CO121" s="195">
        <v>34.456523396880421</v>
      </c>
      <c r="CP121" s="195">
        <v>88.754731369150818</v>
      </c>
      <c r="CQ121" s="195">
        <v>88.003197573656976</v>
      </c>
      <c r="CR121" s="195">
        <v>4.6256499133448738E-2</v>
      </c>
      <c r="CS121" s="59">
        <v>2.0797227036395104E-2</v>
      </c>
      <c r="CT121" s="195">
        <v>1.407400346620451</v>
      </c>
      <c r="CU121" s="195">
        <v>1.4684194107452351</v>
      </c>
      <c r="CV121" s="195">
        <v>3.0179999999999998</v>
      </c>
      <c r="CW121" s="247">
        <v>3.1440000000000001</v>
      </c>
      <c r="CX121" s="193">
        <f>IFERROR(AVERAGEIF(RD[[#This Row],[IS1POA1 (KWh/m2)]:[IS7POA2 (KWh/m2)]],"&lt;&gt;0",RD[[#This Row],[IS1POA1 (KWh/m2)]:[IS7POA2 (KWh/m2)]]),"")</f>
        <v>3.1388273083333327</v>
      </c>
      <c r="CY121" s="193">
        <f>IFERROR(AVERAGEIF(RD[[#This Row],[IS1GHI1 (KWh/m2)]:[IS7GHI2 (KWh/m2)]],"&lt;&gt;0",RD[[#This Row],[IS1GHI1 (KWh/m2)]:[IS7GHI2 (KWh/m2)]]),"")</f>
        <v>2.7850149666666684</v>
      </c>
      <c r="CZ121" s="193">
        <f>IFERROR(AVERAGEIF(RD[[#This Row],[IS1POA_BS1 (KWh/m2)]:[IS7POA_BS2 (KWh/m2)]],"&lt;&gt;0",RD[[#This Row],[IS1POA_BS1 (KWh/m2)]:[IS7POA_BS2 (KWh/m2)]]),"")</f>
        <v>0.40997852499999987</v>
      </c>
      <c r="DA121" s="193">
        <f>IFERROR(AVERAGEIF(RD[[#This Row],[IS1GHI_BS1 (KWh/m2)]:[IS1GHI_BS1 (KWh/m2)2]],"&lt;&gt;0",RD[[#This Row],[IS1GHI_BS1 (KWh/m2)]:[IS1GHI_BS1 (KWh/m2)2]]),"")</f>
        <v>0.49040050000000024</v>
      </c>
      <c r="DB121" s="193">
        <f>IFERROR(AVERAGEIF(RD[[#This Row],[IS1AT1 (°C)]:[IS7AT2 (°C)]],"&lt;&gt;0",RD[[#This Row],[IS1AT1 (°C)]:[IS7AT2 (°C)]]),"")</f>
        <v>26.672075389948006</v>
      </c>
      <c r="DC121" s="193">
        <f>IFERROR(AVERAGEIF(RD[[#This Row],[IS1MT1 (°C)]:[IS7MT2 (°C)]],"&lt;&gt;0",RD[[#This Row],[IS1MT1 (°C)]:[IS7MT2 (°C)]]),"")</f>
        <v>35.558547227036428</v>
      </c>
      <c r="DD121" s="193">
        <f>IFERROR(AVERAGEIF(RD[[#This Row],[IS1RH1 (%)]:[IS7RH2 (%)]],"&lt;&gt;0",RD[[#This Row],[IS1RH1 (%)]:[IS7RH2 (%)]]),"")</f>
        <v>88.37896447140389</v>
      </c>
      <c r="DE121" s="193">
        <f>IFERROR(AVERAGEIF(RD[[#This Row],[IS1Rain1 (mm)]:[IS7Rain2 (mm)]],"&lt;&gt;0",RD[[#This Row],[IS1Rain1 (mm)]:[IS7Rain2 (mm)]]),"")</f>
        <v>3.3526863084921921E-2</v>
      </c>
      <c r="DF121" s="193">
        <f>IFERROR(AVERAGEIF(RD[[#This Row],[WS_Solar1_Avg (m/s)]:[IS7_WS_Solar1_Avg (m/s)]],"&lt;&gt;0",RD[[#This Row],[WS_Solar1_Avg (m/s)]:[IS7_WS_Solar1_Avg (m/s)]]),"")</f>
        <v>1.437909878682843</v>
      </c>
      <c r="DG121" s="193">
        <f>IFERROR(AVERAGEIF(RD[[#This Row],[WS_Solar1_Max (m/s)]:[IS7_WS_Solar1_Max (m/s)]],"&lt;&gt;0",RD[[#This Row],[WS_Solar1_Max (m/s)]:[IS7_WS_Solar1_Max (m/s)]]),"")</f>
        <v>3.081</v>
      </c>
      <c r="DH121" s="193">
        <f>SUM(RD[[#This Row],[IS1Inv1M1]:[IS4Inv4M2]])</f>
        <v>135899.00000000003</v>
      </c>
      <c r="DI121" s="194">
        <f>SUM(RD[[#This Row],[IS7Inv1M1]]+RD[[#This Row],[IS7Inv2M1]])</f>
        <v>7972.5</v>
      </c>
      <c r="DJ121" s="193">
        <f>SUM(RD[[#This Row],[IS5Inv1M1]:[IS5Inv2M2]])</f>
        <v>19692.3</v>
      </c>
      <c r="DK121" s="193">
        <f>SUM(RD[[#This Row],[IS8Inv1M1]:[IS9Inv2M2]])</f>
        <v>38606.699999999997</v>
      </c>
      <c r="DL121" s="60">
        <f>SUM(RD[[#This Row],[IS6Inv1M1]:[IS6Inv2M2]])</f>
        <v>20104.099999999999</v>
      </c>
      <c r="DM121" s="275">
        <f>SUM(RD[[#This Row],[IS10Inv1M1]:[IS11Inv1M4]],RD[[#This Row],[IS14Inv1M1]:[IS14Inv2M4]])</f>
        <v>89752.999999999985</v>
      </c>
      <c r="DN121" s="275">
        <f>SUM(RD[[#This Row],[IS12Inv1M1]:[IS12Inv1M4]])</f>
        <v>17112.5</v>
      </c>
      <c r="DO121" s="275">
        <f>SUM(RD[[#This Row],[IS13Inv1M1]:[IS13Inv2M2]])</f>
        <v>19318.900000000001</v>
      </c>
      <c r="DP121" s="193">
        <f>SUM(RD[[#This Row],[O2R15]:[O2R26]])</f>
        <v>348459</v>
      </c>
      <c r="DQ121" s="158">
        <v>46749.599999999999</v>
      </c>
      <c r="DR121" s="162">
        <v>234.1</v>
      </c>
      <c r="DS121" s="158">
        <v>40951.4</v>
      </c>
      <c r="DT121" s="158">
        <v>245.7</v>
      </c>
      <c r="DU121" s="162">
        <v>48592</v>
      </c>
      <c r="DV121" s="162">
        <v>462</v>
      </c>
      <c r="DW121" s="158">
        <v>11343.5</v>
      </c>
      <c r="DX121" s="162">
        <v>60</v>
      </c>
      <c r="DY121" s="162">
        <v>5859.9</v>
      </c>
      <c r="DZ121" s="162">
        <v>30.9</v>
      </c>
      <c r="EA121" s="134">
        <v>112.61</v>
      </c>
      <c r="EB121" s="230">
        <v>158028644</v>
      </c>
      <c r="EC121" s="229">
        <v>1109387.9040000001</v>
      </c>
      <c r="ED121" s="230">
        <v>1331</v>
      </c>
      <c r="EE121" s="230">
        <v>152198</v>
      </c>
      <c r="EF121" s="158">
        <v>219083</v>
      </c>
      <c r="EG121" s="158">
        <v>2120.8000000000002</v>
      </c>
      <c r="EH121" s="140">
        <f>IF((RD[[#This Row],[33 kV_F3_Ex
Incomer1]]-DQ120)*1000&lt;0,0,(RD[[#This Row],[33 kV_F3_Ex
Incomer1]]-DQ120)*1000)</f>
        <v>69199.99999999709</v>
      </c>
      <c r="EI121" s="140">
        <f>IF((RD[[#This Row],[34 kV_F3_Im
Incomer1]]-DR120)*1000&lt;0,0,(RD[[#This Row],[34 kV_F3_Im
Incomer1]]-DR120)*1000)</f>
        <v>400.00000000000568</v>
      </c>
      <c r="EJ121" s="140">
        <f>IF((RD[[#This Row],[33 kV_F4_Ex
Incomer2]]-DS120)*1000&lt;0,0,(RD[[#This Row],[33 kV_F4_Ex
Incomer2]]-DS120)*1000)</f>
        <v>64300.00000000291</v>
      </c>
      <c r="EK121" s="140">
        <f>IF((RD[[#This Row],[34 kV_F4_Im
Incomer2]]-DT120)*1000&lt;0,0,(RD[[#This Row],[34 kV_F4_Im
Incomer2]]-DT120)*1000)</f>
        <v>299.99999999998295</v>
      </c>
      <c r="EL121" s="140">
        <f>IF((RD[[#This Row],[33 kV_F5_Ex
Incomer3]]-DU120)*1000&lt;0,0,(RD[[#This Row],[33 kV_F5_Ex
Incomer3]]-DU120)*1000)</f>
        <v>85900.000000001455</v>
      </c>
      <c r="EM121" s="140">
        <f>IF((RD[[#This Row],[34 kV_F5_Im
Incomer3]]-DV120)*1000&lt;0,0,(RD[[#This Row],[34 kV_F5_Im
Incomer3]]-DV120)*1000)</f>
        <v>699.99999999998863</v>
      </c>
      <c r="EN121" s="140">
        <f>IF((RD[[#This Row],[33 kV_F6_Ex
Incomer4]]-DW120)*1000&lt;0,0,(RD[[#This Row],[33 kV_F6_Ex
Incomer4]]-DW120)*1000)</f>
        <v>28500</v>
      </c>
      <c r="EO121" s="140">
        <f t="shared" si="166"/>
        <v>299.99999999998295</v>
      </c>
      <c r="EP121" s="140">
        <f>IF((RD[[#This Row],[33 kV_F7_Ex
Incomer5]]-DY120)*1000&lt;0,0,(RD[[#This Row],[33 kV_F7_Ex
Incomer5]]-DY120)*1000)</f>
        <v>77799.999999999272</v>
      </c>
      <c r="EQ121" s="140">
        <f>IF((RD[[#This Row],[33 kV_F7_Im
Incomer5]]-DZ120)*1000&lt;0,0,(RD[[#This Row],[33 kV_F7_Im
Incomer5]]-DZ120)*1000)</f>
        <v>599.99999999999784</v>
      </c>
      <c r="ER121" s="140">
        <f>IF((RD[[#This Row],[33 kV_Aux Trafo]]-EA120)*1000&lt;0,0,(RD[[#This Row],[33 kV_Aux Trafo]]-EA120)*1000)</f>
        <v>280.00000000000114</v>
      </c>
      <c r="ES121" s="152">
        <f>IF((RD[[#This Row],[33kV_OG1_Ex_]]-EB120)*1&lt;0,0,(RD[[#This Row],[33kV_OG1_Ex_]]-EB120)*1)</f>
        <v>346440</v>
      </c>
      <c r="ET121" s="140">
        <f>IF((RD[[#This Row],[33kV_OG1_Im]]-EC120)*1&lt;0,0,(RD[[#This Row],[33kV_OG1_Im]]-EC120)*1)</f>
        <v>2516.3520000001881</v>
      </c>
      <c r="EU121" s="140">
        <f>IF((RD[[#This Row],[132kV_TX1_EX]]-ED120)*720&lt;=0,"",(RD[[#This Row],[132kV_TX1_EX]]-ED120)*720)</f>
        <v>2160</v>
      </c>
      <c r="EV121" s="140">
        <f>IF((RD[[#This Row],[132 kV_Tx1_Im]]-EE120)*720&lt;=0,0,(RD[[#This Row],[132 kV_Tx1_Im]]-EE120)*720)</f>
        <v>248400</v>
      </c>
      <c r="EW121" s="140">
        <f>IF((RD[[#This Row],[132kV_L1_Ex]]-EF120)*720&lt;=0,0,(RD[[#This Row],[132kV_L1_Ex]]-EF120)*720)</f>
        <v>345312.00000000419</v>
      </c>
      <c r="EX121" s="140">
        <f>IF((RD[[#This Row],[132kV_L1_Im]]-EG120)*720&lt;=0,0,(RD[[#This Row],[132kV_L1_Im]]-EG120)*720)</f>
        <v>3096.000000000131</v>
      </c>
      <c r="EY121" s="316">
        <f>IFERROR(RD[[#This Row],[33kV_OG1_Ex (MWh)]]+RD[[#This Row],[33kV_OG1_Im (MWh)]],"")</f>
        <v>348956.35200000019</v>
      </c>
      <c r="EZ121" s="142">
        <f>RD[[#This Row],[33kV_OG1_Ex (MWh)]]-RD[[#This Row],[33kV_OG1_Im (MWh)]]</f>
        <v>343923.64799999981</v>
      </c>
      <c r="FA121" s="142">
        <f>IFERROR(RD[[#This Row],[132kV_L1_Ex(MWh)]]-RD[[#This Row],[132kV_L1_Im(MWh)]],"")</f>
        <v>342216.00000000407</v>
      </c>
      <c r="FB121" s="318">
        <f>IFERROR(RD[[#This Row],[33kV_Ex(MWh)]]/RD[[#This Row],[Inv Total Gneration (MWh)]]-1,"")</f>
        <v>1.4272898676750412E-3</v>
      </c>
      <c r="FC121" s="319">
        <f>IFERROR((RD[[#This Row],[Sunset Time (POA&lt;20 W/m2)]]-RD[[#This Row],[Sunrise Time (POA&gt;20 W/m2)]])*24,0)</f>
        <v>12.166666666666666</v>
      </c>
      <c r="FD121" s="320">
        <v>129.05000000000001</v>
      </c>
      <c r="FE121" s="334" t="s">
        <v>1324</v>
      </c>
      <c r="FG121" s="138" t="str">
        <f>IFERROR(RD[[#This Row],[E_AC (WPR)]]/RD[[#This Row],[E_DC (WPR)]],"")</f>
        <v/>
      </c>
    </row>
    <row r="122" spans="1:163">
      <c r="A122" s="130">
        <f t="shared" si="167"/>
        <v>45862</v>
      </c>
      <c r="B122" s="132">
        <f>YEAR(RD[[#This Row],[Date]])+IF(MONTH(RD[[#This Row],[Date]])&gt;=4,1,0)</f>
        <v>2026</v>
      </c>
      <c r="C122" s="132">
        <f>YEAR(RD[[#This Row],[Date]])</f>
        <v>2025</v>
      </c>
      <c r="D122" s="133">
        <f t="shared" si="171"/>
        <v>45839</v>
      </c>
      <c r="E122" s="132">
        <f>DAY(EOMONTH(RD[[#This Row],[Date]],0))</f>
        <v>31</v>
      </c>
      <c r="F122" s="146">
        <v>0.28402777777777777</v>
      </c>
      <c r="G122" s="156">
        <v>0.73541666666666672</v>
      </c>
      <c r="H122" s="121">
        <v>3602.2</v>
      </c>
      <c r="I122" s="257">
        <v>3594</v>
      </c>
      <c r="J122" s="121">
        <v>3362.6</v>
      </c>
      <c r="K122" s="121">
        <v>3406.2</v>
      </c>
      <c r="L122" s="121">
        <v>3528.6</v>
      </c>
      <c r="M122" s="121">
        <v>3622.8</v>
      </c>
      <c r="N122" s="121">
        <v>3486.3</v>
      </c>
      <c r="O122" s="121">
        <v>3887.9</v>
      </c>
      <c r="P122" s="121">
        <v>3519.7</v>
      </c>
      <c r="Q122" s="121">
        <v>3508.1</v>
      </c>
      <c r="R122" s="121">
        <v>3600.3</v>
      </c>
      <c r="S122" s="255">
        <v>3587.5</v>
      </c>
      <c r="T122" s="121">
        <v>3595.6</v>
      </c>
      <c r="U122" s="121">
        <v>3651.3</v>
      </c>
      <c r="V122" s="121">
        <v>3616.3</v>
      </c>
      <c r="W122" s="121">
        <v>3516.7</v>
      </c>
      <c r="X122" s="283">
        <v>4987.1000000000004</v>
      </c>
      <c r="Y122" s="192">
        <v>5037.6000000000004</v>
      </c>
      <c r="Z122" s="192">
        <v>4829.8999999999996</v>
      </c>
      <c r="AA122" s="192">
        <v>5056.7</v>
      </c>
      <c r="AB122" s="283">
        <v>5543.1</v>
      </c>
      <c r="AC122" s="192">
        <v>3377.2</v>
      </c>
      <c r="AD122" s="192">
        <v>5058.2</v>
      </c>
      <c r="AE122" s="192">
        <v>5171.8999999999996</v>
      </c>
      <c r="AF122" s="283">
        <v>5061.7</v>
      </c>
      <c r="AG122" s="192">
        <v>5022.2</v>
      </c>
      <c r="AH122" s="192">
        <v>5025.1000000000004</v>
      </c>
      <c r="AI122" s="283">
        <v>5056</v>
      </c>
      <c r="AJ122" s="136">
        <v>4118.3</v>
      </c>
      <c r="AK122" s="136">
        <v>4247.8</v>
      </c>
      <c r="AL122" s="136">
        <v>4239.8999999999996</v>
      </c>
      <c r="AM122" s="136">
        <v>4280.6000000000004</v>
      </c>
      <c r="AN122" s="136">
        <v>4259.3</v>
      </c>
      <c r="AO122" s="136">
        <v>4347.6000000000004</v>
      </c>
      <c r="AP122" s="136">
        <v>4343.7</v>
      </c>
      <c r="AQ122" s="136">
        <v>4309.8999999999996</v>
      </c>
      <c r="AR122" s="136">
        <v>3422.2</v>
      </c>
      <c r="AS122" s="136">
        <v>3449.6</v>
      </c>
      <c r="AT122" s="136">
        <v>3460</v>
      </c>
      <c r="AU122" s="136">
        <v>3421.4</v>
      </c>
      <c r="AV122" s="136">
        <v>3512</v>
      </c>
      <c r="AW122" s="136">
        <v>3458.1</v>
      </c>
      <c r="AX122" s="136">
        <v>4898</v>
      </c>
      <c r="AY122" s="136">
        <v>5576.6</v>
      </c>
      <c r="AZ122" s="136">
        <v>3999.1</v>
      </c>
      <c r="BA122" s="136">
        <v>4905.1000000000004</v>
      </c>
      <c r="BB122" s="136">
        <v>4891.3</v>
      </c>
      <c r="BC122" s="136">
        <v>4665.8</v>
      </c>
      <c r="BD122" s="136">
        <v>4185.5</v>
      </c>
      <c r="BE122" s="136">
        <v>4579.5</v>
      </c>
      <c r="BF122" s="136">
        <v>4927.7</v>
      </c>
      <c r="BG122" s="136">
        <v>4980.1000000000004</v>
      </c>
      <c r="BH122" s="136">
        <v>4939.7</v>
      </c>
      <c r="BI122" s="136">
        <v>5088.8999999999996</v>
      </c>
      <c r="BJ122" s="136">
        <v>3193.5</v>
      </c>
      <c r="BK122" s="136">
        <v>2527.5</v>
      </c>
      <c r="BL122" s="136">
        <v>3010.7</v>
      </c>
      <c r="BM122" s="136">
        <v>3030.8</v>
      </c>
      <c r="BN122" s="136">
        <v>3396.6</v>
      </c>
      <c r="BO122" s="136">
        <v>3235.1</v>
      </c>
      <c r="BP122" s="136">
        <v>3575.6</v>
      </c>
      <c r="BQ122" s="136">
        <v>3515.5</v>
      </c>
      <c r="BR122" s="136">
        <v>3661.6</v>
      </c>
      <c r="BS122" s="136">
        <v>3813.5</v>
      </c>
      <c r="BT122" s="136">
        <v>3953</v>
      </c>
      <c r="BU122" s="136">
        <v>3943.8</v>
      </c>
      <c r="BV122" s="192">
        <v>3279.8</v>
      </c>
      <c r="BW122" s="192">
        <v>3125</v>
      </c>
      <c r="BX122" s="192">
        <v>2881.2</v>
      </c>
      <c r="BY122" s="192">
        <v>3344</v>
      </c>
      <c r="BZ122" s="136">
        <v>2885.3</v>
      </c>
      <c r="CA122" s="136">
        <v>372.5</v>
      </c>
      <c r="CB122" s="136">
        <v>2964.5</v>
      </c>
      <c r="CC122" s="136">
        <v>3162.7</v>
      </c>
      <c r="CD122" s="195">
        <v>2.61378363333333</v>
      </c>
      <c r="CE122" s="59">
        <v>2.5277044666666648</v>
      </c>
      <c r="CF122" s="195">
        <v>2.2195142999999975</v>
      </c>
      <c r="CG122" s="195">
        <v>2.5477373500000016</v>
      </c>
      <c r="CH122" s="195">
        <v>0.32318986666666666</v>
      </c>
      <c r="CI122" s="195">
        <v>0.3489726333333335</v>
      </c>
      <c r="CJ122" s="59">
        <v>0.47859568333333397</v>
      </c>
      <c r="CK122" s="59">
        <v>0.35377064999999985</v>
      </c>
      <c r="CL122" s="195">
        <v>26.194348178137691</v>
      </c>
      <c r="CM122" s="195">
        <v>26.09737903225798</v>
      </c>
      <c r="CN122" s="195">
        <v>36.102617004048575</v>
      </c>
      <c r="CO122" s="195">
        <v>33.68258306451613</v>
      </c>
      <c r="CP122" s="195">
        <v>85.880267206477853</v>
      </c>
      <c r="CQ122" s="195">
        <v>86.085443548387104</v>
      </c>
      <c r="CR122" s="195">
        <v>0</v>
      </c>
      <c r="CS122" s="59">
        <v>9.6774193548387032E-3</v>
      </c>
      <c r="CT122" s="195">
        <v>1.1243708502024303</v>
      </c>
      <c r="CU122" s="195">
        <v>1.1841314516129038</v>
      </c>
      <c r="CV122" s="195">
        <v>2.883</v>
      </c>
      <c r="CW122" s="247">
        <v>2.8860000000000001</v>
      </c>
      <c r="CX122" s="193">
        <f>IFERROR(AVERAGEIF(RD[[#This Row],[IS1POA1 (KWh/m2)]:[IS7POA2 (KWh/m2)]],"&lt;&gt;0",RD[[#This Row],[IS1POA1 (KWh/m2)]:[IS7POA2 (KWh/m2)]]),"")</f>
        <v>2.5707440499999974</v>
      </c>
      <c r="CY122" s="193">
        <f>IFERROR(AVERAGEIF(RD[[#This Row],[IS1GHI1 (KWh/m2)]:[IS7GHI2 (KWh/m2)]],"&lt;&gt;0",RD[[#This Row],[IS1GHI1 (KWh/m2)]:[IS7GHI2 (KWh/m2)]]),"")</f>
        <v>2.3836258249999993</v>
      </c>
      <c r="CZ122" s="193">
        <f>IFERROR(AVERAGEIF(RD[[#This Row],[IS1POA_BS1 (KWh/m2)]:[IS7POA_BS2 (KWh/m2)]],"&lt;&gt;0",RD[[#This Row],[IS1POA_BS1 (KWh/m2)]:[IS7POA_BS2 (KWh/m2)]]),"")</f>
        <v>0.33608125000000011</v>
      </c>
      <c r="DA122" s="193">
        <f>IFERROR(AVERAGEIF(RD[[#This Row],[IS1GHI_BS1 (KWh/m2)]:[IS1GHI_BS1 (KWh/m2)2]],"&lt;&gt;0",RD[[#This Row],[IS1GHI_BS1 (KWh/m2)]:[IS1GHI_BS1 (KWh/m2)2]]),"")</f>
        <v>0.41618316666666688</v>
      </c>
      <c r="DB122" s="193">
        <f>IFERROR(AVERAGEIF(RD[[#This Row],[IS1AT1 (°C)]:[IS7AT2 (°C)]],"&lt;&gt;0",RD[[#This Row],[IS1AT1 (°C)]:[IS7AT2 (°C)]]),"")</f>
        <v>26.145863605197835</v>
      </c>
      <c r="DC122" s="193">
        <f>IFERROR(AVERAGEIF(RD[[#This Row],[IS1MT1 (°C)]:[IS7MT2 (°C)]],"&lt;&gt;0",RD[[#This Row],[IS1MT1 (°C)]:[IS7MT2 (°C)]]),"")</f>
        <v>34.892600034282353</v>
      </c>
      <c r="DD122" s="193">
        <f>IFERROR(AVERAGEIF(RD[[#This Row],[IS1RH1 (%)]:[IS7RH2 (%)]],"&lt;&gt;0",RD[[#This Row],[IS1RH1 (%)]:[IS7RH2 (%)]]),"")</f>
        <v>85.982855377432486</v>
      </c>
      <c r="DE122" s="193">
        <f>IFERROR(AVERAGEIF(RD[[#This Row],[IS1Rain1 (mm)]:[IS7Rain2 (mm)]],"&lt;&gt;0",RD[[#This Row],[IS1Rain1 (mm)]:[IS7Rain2 (mm)]]),"")</f>
        <v>9.6774193548387032E-3</v>
      </c>
      <c r="DF122" s="193">
        <f>IFERROR(AVERAGEIF(RD[[#This Row],[WS_Solar1_Avg (m/s)]:[IS7_WS_Solar1_Avg (m/s)]],"&lt;&gt;0",RD[[#This Row],[WS_Solar1_Avg (m/s)]:[IS7_WS_Solar1_Avg (m/s)]]),"")</f>
        <v>1.1542511509076672</v>
      </c>
      <c r="DG122" s="193">
        <f>IFERROR(AVERAGEIF(RD[[#This Row],[WS_Solar1_Max (m/s)]:[IS7_WS_Solar1_Max (m/s)]],"&lt;&gt;0",RD[[#This Row],[WS_Solar1_Max (m/s)]:[IS7_WS_Solar1_Max (m/s)]]),"")</f>
        <v>2.8845000000000001</v>
      </c>
      <c r="DH122" s="193">
        <f>SUM(RD[[#This Row],[IS1Inv1M1]:[IS4Inv4M2]])</f>
        <v>116312.79999999999</v>
      </c>
      <c r="DI122" s="194">
        <f>SUM(RD[[#This Row],[IS7Inv1M1]]+RD[[#This Row],[IS7Inv2M1]])</f>
        <v>6871.7999999999993</v>
      </c>
      <c r="DJ122" s="193">
        <f>SUM(RD[[#This Row],[IS5Inv1M1]:[IS5Inv2M2]])</f>
        <v>16886.599999999999</v>
      </c>
      <c r="DK122" s="193">
        <f>SUM(RD[[#This Row],[IS8Inv1M1]:[IS9Inv2M2]])</f>
        <v>33230.299999999996</v>
      </c>
      <c r="DL122" s="60">
        <f>SUM(RD[[#This Row],[IS6Inv1M1]:[IS6Inv2M2]])</f>
        <v>17260.5</v>
      </c>
      <c r="DM122" s="275">
        <f>SUM(RD[[#This Row],[IS10Inv1M1]:[IS11Inv1M4]],RD[[#This Row],[IS14Inv1M1]:[IS14Inv2M4]])</f>
        <v>72036</v>
      </c>
      <c r="DN122" s="275">
        <f>SUM(RD[[#This Row],[IS12Inv1M1]:[IS12Inv1M4]])</f>
        <v>13722.8</v>
      </c>
      <c r="DO122" s="275">
        <f>SUM(RD[[#This Row],[IS13Inv1M1]:[IS13Inv2M2]])</f>
        <v>15371.900000000001</v>
      </c>
      <c r="DP122" s="193">
        <f>SUM(RD[[#This Row],[O2R15]:[O2R26]])</f>
        <v>291692.7</v>
      </c>
      <c r="DQ122" s="158">
        <v>46808.6</v>
      </c>
      <c r="DR122" s="162">
        <v>234.5</v>
      </c>
      <c r="DS122" s="158">
        <v>41006.9</v>
      </c>
      <c r="DT122" s="158">
        <v>246.1</v>
      </c>
      <c r="DU122" s="162">
        <v>48666</v>
      </c>
      <c r="DV122" s="162">
        <v>462.7</v>
      </c>
      <c r="DW122" s="158">
        <v>11365.7</v>
      </c>
      <c r="DX122" s="162">
        <v>60.3</v>
      </c>
      <c r="DY122" s="162">
        <v>5923.1</v>
      </c>
      <c r="DZ122" s="162">
        <v>31.6</v>
      </c>
      <c r="EA122" s="134">
        <v>112.89</v>
      </c>
      <c r="EB122" s="230">
        <v>158319509</v>
      </c>
      <c r="EC122" s="229">
        <v>1112112.3840000001</v>
      </c>
      <c r="ED122" s="230">
        <v>1335</v>
      </c>
      <c r="EE122" s="230">
        <v>152488</v>
      </c>
      <c r="EF122" s="158">
        <v>219485.7</v>
      </c>
      <c r="EG122" s="158">
        <v>2125.3000000000002</v>
      </c>
      <c r="EH122" s="140">
        <f>IF((RD[[#This Row],[33 kV_F3_Ex
Incomer1]]-DQ121)*1000&lt;0,0,(RD[[#This Row],[33 kV_F3_Ex
Incomer1]]-DQ121)*1000)</f>
        <v>59000</v>
      </c>
      <c r="EI122" s="140">
        <f>IF((RD[[#This Row],[34 kV_F3_Im
Incomer1]]-DR121)*1000&lt;0,0,(RD[[#This Row],[34 kV_F3_Im
Incomer1]]-DR121)*1000)</f>
        <v>400.00000000000568</v>
      </c>
      <c r="EJ122" s="140">
        <f>IF((RD[[#This Row],[33 kV_F4_Ex
Incomer2]]-DS121)*1000&lt;0,0,(RD[[#This Row],[33 kV_F4_Ex
Incomer2]]-DS121)*1000)</f>
        <v>55500</v>
      </c>
      <c r="EK122" s="140">
        <f>IF((RD[[#This Row],[34 kV_F4_Im
Incomer2]]-DT121)*1000&lt;0,0,(RD[[#This Row],[34 kV_F4_Im
Incomer2]]-DT121)*1000)</f>
        <v>400.00000000000568</v>
      </c>
      <c r="EL122" s="140">
        <f>IF((RD[[#This Row],[33 kV_F5_Ex
Incomer3]]-DU121)*1000&lt;0,0,(RD[[#This Row],[33 kV_F5_Ex
Incomer3]]-DU121)*1000)</f>
        <v>74000</v>
      </c>
      <c r="EM122" s="140">
        <f>IF((RD[[#This Row],[34 kV_F5_Im
Incomer3]]-DV121)*1000&lt;0,0,(RD[[#This Row],[34 kV_F5_Im
Incomer3]]-DV121)*1000)</f>
        <v>699.99999999998863</v>
      </c>
      <c r="EN122" s="140">
        <f>IF((RD[[#This Row],[33 kV_F6_Ex
Incomer4]]-DW121)*1000&lt;0,0,(RD[[#This Row],[33 kV_F6_Ex
Incomer4]]-DW121)*1000)</f>
        <v>22200.000000000728</v>
      </c>
      <c r="EO122" s="140">
        <f t="shared" si="166"/>
        <v>400.00000000000568</v>
      </c>
      <c r="EP122" s="140">
        <f>IF((RD[[#This Row],[33 kV_F7_Ex
Incomer5]]-DY121)*1000&lt;0,0,(RD[[#This Row],[33 kV_F7_Ex
Incomer5]]-DY121)*1000)</f>
        <v>63200.000000000728</v>
      </c>
      <c r="EQ122" s="140">
        <f>IF((RD[[#This Row],[33 kV_F7_Im
Incomer5]]-DZ121)*1000&lt;0,0,(RD[[#This Row],[33 kV_F7_Im
Incomer5]]-DZ121)*1000)</f>
        <v>700.00000000000284</v>
      </c>
      <c r="ER122" s="140">
        <f>IF((RD[[#This Row],[33 kV_Aux Trafo]]-EA121)*1000&lt;0,0,(RD[[#This Row],[33 kV_Aux Trafo]]-EA121)*1000)</f>
        <v>280.00000000000114</v>
      </c>
      <c r="ES122" s="152">
        <f>IF((RD[[#This Row],[33kV_OG1_Ex_]]-EB121)*1&lt;0,0,(RD[[#This Row],[33kV_OG1_Ex_]]-EB121)*1)</f>
        <v>290865</v>
      </c>
      <c r="ET122" s="140">
        <f>IF((RD[[#This Row],[33kV_OG1_Im]]-EC121)*1&lt;0,0,(RD[[#This Row],[33kV_OG1_Im]]-EC121)*1)</f>
        <v>2724.4799999999814</v>
      </c>
      <c r="EU122" s="140">
        <f>IF((RD[[#This Row],[132kV_TX1_EX]]-ED121)*720&lt;=0,"",(RD[[#This Row],[132kV_TX1_EX]]-ED121)*720)</f>
        <v>2880</v>
      </c>
      <c r="EV122" s="140">
        <f>IF((RD[[#This Row],[132 kV_Tx1_Im]]-EE121)*720&lt;=0,0,(RD[[#This Row],[132 kV_Tx1_Im]]-EE121)*720)</f>
        <v>208800</v>
      </c>
      <c r="EW122" s="140">
        <f>IF((RD[[#This Row],[132kV_L1_Ex]]-EF121)*720&lt;=0,0,(RD[[#This Row],[132kV_L1_Ex]]-EF121)*720)</f>
        <v>289944.00000000838</v>
      </c>
      <c r="EX122" s="140">
        <f>IF((RD[[#This Row],[132kV_L1_Im]]-EG121)*720&lt;=0,0,(RD[[#This Row],[132kV_L1_Im]]-EG121)*720)</f>
        <v>3240</v>
      </c>
      <c r="EY122" s="316">
        <f>IFERROR(RD[[#This Row],[33kV_OG1_Ex (MWh)]]+RD[[#This Row],[33kV_OG1_Im (MWh)]],"")</f>
        <v>293589.48</v>
      </c>
      <c r="EZ122" s="142">
        <f>RD[[#This Row],[33kV_OG1_Ex (MWh)]]-RD[[#This Row],[33kV_OG1_Im (MWh)]]</f>
        <v>288140.52</v>
      </c>
      <c r="FA122" s="142">
        <f>IFERROR(RD[[#This Row],[132kV_L1_Ex(MWh)]]-RD[[#This Row],[132kV_L1_Im(MWh)]],"")</f>
        <v>286704.00000000838</v>
      </c>
      <c r="FB122" s="318">
        <f>IFERROR(RD[[#This Row],[33kV_Ex(MWh)]]/RD[[#This Row],[Inv Total Gneration (MWh)]]-1,"")</f>
        <v>6.5026653049595762E-3</v>
      </c>
      <c r="FC122" s="319">
        <f>IFERROR((RD[[#This Row],[Sunset Time (POA&lt;20 W/m2)]]-RD[[#This Row],[Sunrise Time (POA&gt;20 W/m2)]])*24,0)</f>
        <v>10.833333333333336</v>
      </c>
      <c r="FD122" s="320">
        <v>129.05000000000001</v>
      </c>
      <c r="FE122" t="s">
        <v>1325</v>
      </c>
      <c r="FG122" s="138" t="str">
        <f>IFERROR(RD[[#This Row],[E_AC (WPR)]]/RD[[#This Row],[E_DC (WPR)]],"")</f>
        <v/>
      </c>
    </row>
    <row r="123" spans="1:163">
      <c r="A123" s="130">
        <f t="shared" si="167"/>
        <v>45863</v>
      </c>
      <c r="B123" s="132">
        <f>YEAR(RD[[#This Row],[Date]])+IF(MONTH(RD[[#This Row],[Date]])&gt;=4,1,0)</f>
        <v>2026</v>
      </c>
      <c r="C123" s="132">
        <f>YEAR(RD[[#This Row],[Date]])</f>
        <v>2025</v>
      </c>
      <c r="D123" s="133">
        <f t="shared" si="171"/>
        <v>45839</v>
      </c>
      <c r="E123" s="132">
        <f>DAY(EOMONTH(RD[[#This Row],[Date]],0))</f>
        <v>31</v>
      </c>
      <c r="F123" s="146">
        <v>0.27013888888888887</v>
      </c>
      <c r="G123" s="156">
        <v>0.77638888888888891</v>
      </c>
      <c r="H123" s="121">
        <v>4943</v>
      </c>
      <c r="I123" s="257">
        <v>4932.7</v>
      </c>
      <c r="J123" s="121">
        <v>4628.8999999999996</v>
      </c>
      <c r="K123" s="121">
        <v>4682.8999999999996</v>
      </c>
      <c r="L123" s="121">
        <v>4864.1000000000004</v>
      </c>
      <c r="M123" s="121">
        <v>4976.2</v>
      </c>
      <c r="N123" s="121">
        <v>4776.3</v>
      </c>
      <c r="O123" s="121">
        <v>5321.3</v>
      </c>
      <c r="P123" s="121">
        <v>4820.7</v>
      </c>
      <c r="Q123" s="121">
        <v>4802.3999999999996</v>
      </c>
      <c r="R123" s="121">
        <v>4910.8</v>
      </c>
      <c r="S123" s="255">
        <v>4876.7</v>
      </c>
      <c r="T123" s="121">
        <v>4918.6000000000004</v>
      </c>
      <c r="U123" s="121">
        <v>4990</v>
      </c>
      <c r="V123" s="121">
        <v>5062.8999999999996</v>
      </c>
      <c r="W123" s="121">
        <v>4820.1000000000004</v>
      </c>
      <c r="X123" s="283">
        <v>6749.9</v>
      </c>
      <c r="Y123" s="192">
        <v>6841.2</v>
      </c>
      <c r="Z123" s="192">
        <v>6562.2</v>
      </c>
      <c r="AA123" s="192">
        <v>6884.3</v>
      </c>
      <c r="AB123" s="283">
        <v>7445.7</v>
      </c>
      <c r="AC123" s="192">
        <v>4553.8999999999996</v>
      </c>
      <c r="AD123" s="192">
        <v>6835.5</v>
      </c>
      <c r="AE123" s="192">
        <v>6999.2</v>
      </c>
      <c r="AF123" s="283">
        <v>6848.2</v>
      </c>
      <c r="AG123" s="192">
        <v>6788</v>
      </c>
      <c r="AH123" s="192">
        <v>6819.1</v>
      </c>
      <c r="AI123" s="283">
        <v>6850</v>
      </c>
      <c r="AJ123" s="136">
        <v>5458.7</v>
      </c>
      <c r="AK123" s="136">
        <v>5681.6</v>
      </c>
      <c r="AL123" s="136">
        <v>5712.7</v>
      </c>
      <c r="AM123" s="136">
        <v>5736.4</v>
      </c>
      <c r="AN123" s="136">
        <v>5692.7</v>
      </c>
      <c r="AO123" s="136">
        <v>5793.2</v>
      </c>
      <c r="AP123" s="136">
        <v>5771.7</v>
      </c>
      <c r="AQ123" s="136">
        <v>5713.3</v>
      </c>
      <c r="AR123" s="136">
        <v>4599.7</v>
      </c>
      <c r="AS123" s="136">
        <v>4660.3</v>
      </c>
      <c r="AT123" s="136">
        <v>4688.6000000000004</v>
      </c>
      <c r="AU123" s="136">
        <v>4647.7</v>
      </c>
      <c r="AV123" s="136">
        <v>4766.5</v>
      </c>
      <c r="AW123" s="136">
        <v>4690.1000000000004</v>
      </c>
      <c r="AX123" s="136">
        <v>6428.3</v>
      </c>
      <c r="AY123" s="136">
        <v>7231.8</v>
      </c>
      <c r="AZ123" s="136">
        <v>5204.6000000000004</v>
      </c>
      <c r="BA123" s="136">
        <v>6455.4</v>
      </c>
      <c r="BB123" s="136">
        <v>6869.3</v>
      </c>
      <c r="BC123" s="136">
        <v>6578.4</v>
      </c>
      <c r="BD123" s="136">
        <v>6028.3</v>
      </c>
      <c r="BE123" s="136">
        <v>6632.9</v>
      </c>
      <c r="BF123" s="136">
        <v>7139.1</v>
      </c>
      <c r="BG123" s="136">
        <v>7224.8</v>
      </c>
      <c r="BH123" s="136">
        <v>7177.1</v>
      </c>
      <c r="BI123" s="136">
        <v>7364.2</v>
      </c>
      <c r="BJ123" s="136">
        <v>4681.3</v>
      </c>
      <c r="BK123" s="136">
        <v>3720</v>
      </c>
      <c r="BL123" s="136">
        <v>4458</v>
      </c>
      <c r="BM123" s="136">
        <v>4471.5</v>
      </c>
      <c r="BN123" s="136">
        <v>5044.6000000000004</v>
      </c>
      <c r="BO123" s="136">
        <v>4821.8</v>
      </c>
      <c r="BP123" s="136">
        <v>5305.3</v>
      </c>
      <c r="BQ123" s="136">
        <v>5193.7</v>
      </c>
      <c r="BR123" s="136">
        <v>5364.2</v>
      </c>
      <c r="BS123" s="136">
        <v>5579.5</v>
      </c>
      <c r="BT123" s="136">
        <v>5803.7</v>
      </c>
      <c r="BU123" s="136">
        <v>5787.5</v>
      </c>
      <c r="BV123" s="192">
        <v>4832.6000000000004</v>
      </c>
      <c r="BW123" s="192">
        <v>4607.3999999999996</v>
      </c>
      <c r="BX123" s="192">
        <v>4268.6000000000004</v>
      </c>
      <c r="BY123" s="192">
        <v>4942.6000000000004</v>
      </c>
      <c r="BZ123" s="136">
        <v>4290.8</v>
      </c>
      <c r="CA123" s="136">
        <v>601.1</v>
      </c>
      <c r="CB123" s="136">
        <v>4358.2</v>
      </c>
      <c r="CC123" s="136">
        <v>4597.7</v>
      </c>
      <c r="CD123" s="195">
        <v>3.83507531666667</v>
      </c>
      <c r="CE123" s="59">
        <v>3.4377178333333345</v>
      </c>
      <c r="CF123" s="195">
        <v>3.0930607666666678</v>
      </c>
      <c r="CG123" s="195">
        <v>3.4428327000000007</v>
      </c>
      <c r="CH123" s="195">
        <v>0.42455410000000027</v>
      </c>
      <c r="CI123" s="195">
        <v>0.46784418333333344</v>
      </c>
      <c r="CJ123" s="59">
        <v>0.66479480000000013</v>
      </c>
      <c r="CK123" s="59">
        <v>0.47110608333333309</v>
      </c>
      <c r="CL123" s="195">
        <v>26.624314679643199</v>
      </c>
      <c r="CM123" s="195">
        <v>26.203476151980659</v>
      </c>
      <c r="CN123" s="195">
        <v>37.725890510948844</v>
      </c>
      <c r="CO123" s="195">
        <v>35.014474535165718</v>
      </c>
      <c r="CP123" s="195">
        <v>89.80714517437157</v>
      </c>
      <c r="CQ123" s="195">
        <v>89.710670978172985</v>
      </c>
      <c r="CR123" s="195">
        <v>7.7875101378750991E-2</v>
      </c>
      <c r="CS123" s="59">
        <v>5.7801131770412413E-2</v>
      </c>
      <c r="CT123" s="195">
        <v>1.0926301703163028</v>
      </c>
      <c r="CU123" s="195">
        <v>1.1973759094583658</v>
      </c>
      <c r="CV123" s="195">
        <v>3.9870000000000001</v>
      </c>
      <c r="CW123" s="247">
        <v>3.9929999999999999</v>
      </c>
      <c r="CX123" s="193">
        <f>IFERROR(AVERAGEIF(RD[[#This Row],[IS1POA1 (KWh/m2)]:[IS7POA2 (KWh/m2)]],"&lt;&gt;0",RD[[#This Row],[IS1POA1 (KWh/m2)]:[IS7POA2 (KWh/m2)]]),"")</f>
        <v>3.6363965750000022</v>
      </c>
      <c r="CY123" s="193">
        <f>IFERROR(AVERAGEIF(RD[[#This Row],[IS1GHI1 (KWh/m2)]:[IS7GHI2 (KWh/m2)]],"&lt;&gt;0",RD[[#This Row],[IS1GHI1 (KWh/m2)]:[IS7GHI2 (KWh/m2)]]),"")</f>
        <v>3.2679467333333343</v>
      </c>
      <c r="CZ123" s="193">
        <f>IFERROR(AVERAGEIF(RD[[#This Row],[IS1POA_BS1 (KWh/m2)]:[IS7POA_BS2 (KWh/m2)]],"&lt;&gt;0",RD[[#This Row],[IS1POA_BS1 (KWh/m2)]:[IS7POA_BS2 (KWh/m2)]]),"")</f>
        <v>0.44619914166666685</v>
      </c>
      <c r="DA123" s="193">
        <f>IFERROR(AVERAGEIF(RD[[#This Row],[IS1GHI_BS1 (KWh/m2)]:[IS1GHI_BS1 (KWh/m2)2]],"&lt;&gt;0",RD[[#This Row],[IS1GHI_BS1 (KWh/m2)]:[IS1GHI_BS1 (KWh/m2)2]]),"")</f>
        <v>0.56795044166666664</v>
      </c>
      <c r="DB123" s="193">
        <f>IFERROR(AVERAGEIF(RD[[#This Row],[IS1AT1 (°C)]:[IS7AT2 (°C)]],"&lt;&gt;0",RD[[#This Row],[IS1AT1 (°C)]:[IS7AT2 (°C)]]),"")</f>
        <v>26.413895415811929</v>
      </c>
      <c r="DC123" s="193">
        <f>IFERROR(AVERAGEIF(RD[[#This Row],[IS1MT1 (°C)]:[IS7MT2 (°C)]],"&lt;&gt;0",RD[[#This Row],[IS1MT1 (°C)]:[IS7MT2 (°C)]]),"")</f>
        <v>36.370182523057281</v>
      </c>
      <c r="DD123" s="193">
        <f>IFERROR(AVERAGEIF(RD[[#This Row],[IS1RH1 (%)]:[IS7RH2 (%)]],"&lt;&gt;0",RD[[#This Row],[IS1RH1 (%)]:[IS7RH2 (%)]]),"")</f>
        <v>89.758908076272277</v>
      </c>
      <c r="DE123" s="193">
        <f>IFERROR(AVERAGEIF(RD[[#This Row],[IS1Rain1 (mm)]:[IS7Rain2 (mm)]],"&lt;&gt;0",RD[[#This Row],[IS1Rain1 (mm)]:[IS7Rain2 (mm)]]),"")</f>
        <v>6.7838116574581706E-2</v>
      </c>
      <c r="DF123" s="193">
        <f>IFERROR(AVERAGEIF(RD[[#This Row],[WS_Solar1_Avg (m/s)]:[IS7_WS_Solar1_Avg (m/s)]],"&lt;&gt;0",RD[[#This Row],[WS_Solar1_Avg (m/s)]:[IS7_WS_Solar1_Avg (m/s)]]),"")</f>
        <v>1.1450030398873343</v>
      </c>
      <c r="DG123" s="193">
        <f>IFERROR(AVERAGEIF(RD[[#This Row],[WS_Solar1_Max (m/s)]:[IS7_WS_Solar1_Max (m/s)]],"&lt;&gt;0",RD[[#This Row],[WS_Solar1_Max (m/s)]:[IS7_WS_Solar1_Max (m/s)]]),"")</f>
        <v>3.99</v>
      </c>
      <c r="DH123" s="193">
        <f>SUM(RD[[#This Row],[IS1Inv1M1]:[IS4Inv4M2]])</f>
        <v>158504.80000000002</v>
      </c>
      <c r="DI123" s="194">
        <f>SUM(RD[[#This Row],[IS7Inv1M1]]+RD[[#This Row],[IS7Inv2M1]])</f>
        <v>9260</v>
      </c>
      <c r="DJ123" s="193">
        <f>SUM(RD[[#This Row],[IS5Inv1M1]:[IS5Inv2M2]])</f>
        <v>22589.4</v>
      </c>
      <c r="DK123" s="193">
        <f>SUM(RD[[#This Row],[IS8Inv1M1]:[IS9Inv2M2]])</f>
        <v>44113</v>
      </c>
      <c r="DL123" s="60">
        <f>SUM(RD[[#This Row],[IS6Inv1M1]:[IS6Inv2M2]])</f>
        <v>22970.899999999998</v>
      </c>
      <c r="DM123" s="275">
        <f>SUM(RD[[#This Row],[IS10Inv1M1]:[IS11Inv1M4]],RD[[#This Row],[IS14Inv1M1]:[IS14Inv2M4]])</f>
        <v>104843.90000000001</v>
      </c>
      <c r="DN123" s="275">
        <f>SUM(RD[[#This Row],[IS12Inv1M1]:[IS12Inv1M4]])</f>
        <v>20365.400000000001</v>
      </c>
      <c r="DO123" s="275">
        <f>SUM(RD[[#This Row],[IS13Inv1M1]:[IS13Inv2M2]])</f>
        <v>22534.9</v>
      </c>
      <c r="DP123" s="193">
        <f>SUM(RD[[#This Row],[O2R15]:[O2R26]])</f>
        <v>405182.30000000005</v>
      </c>
      <c r="DQ123" s="158">
        <v>46888.4</v>
      </c>
      <c r="DR123" s="162">
        <v>234.9</v>
      </c>
      <c r="DS123" s="158">
        <v>41082.400000000001</v>
      </c>
      <c r="DT123" s="158">
        <v>246.4</v>
      </c>
      <c r="DU123" s="162">
        <v>48764.3</v>
      </c>
      <c r="DV123" s="162">
        <v>463.3</v>
      </c>
      <c r="DW123" s="158">
        <v>11398</v>
      </c>
      <c r="DX123" s="162">
        <v>60.5</v>
      </c>
      <c r="DY123" s="162">
        <v>6014.7</v>
      </c>
      <c r="DZ123" s="162">
        <v>32.299999999999997</v>
      </c>
      <c r="EA123" s="134">
        <v>113.18</v>
      </c>
      <c r="EB123" s="230">
        <v>158721458</v>
      </c>
      <c r="EC123" s="229">
        <v>1114723.9680000001</v>
      </c>
      <c r="ED123" s="230">
        <v>1338</v>
      </c>
      <c r="EE123" s="230">
        <v>152888</v>
      </c>
      <c r="EF123" s="158">
        <v>220042.3</v>
      </c>
      <c r="EG123" s="158">
        <v>2129.6999999999998</v>
      </c>
      <c r="EH123" s="140">
        <f>IF((RD[[#This Row],[33 kV_F3_Ex
Incomer1]]-DQ122)*1000&lt;0,0,(RD[[#This Row],[33 kV_F3_Ex
Incomer1]]-DQ122)*1000)</f>
        <v>79800.00000000291</v>
      </c>
      <c r="EI123" s="140">
        <f>IF((RD[[#This Row],[34 kV_F3_Im
Incomer1]]-DR122)*1000&lt;0,0,(RD[[#This Row],[34 kV_F3_Im
Incomer1]]-DR122)*1000)</f>
        <v>400.00000000000568</v>
      </c>
      <c r="EJ123" s="140">
        <f>IF((RD[[#This Row],[33 kV_F4_Ex
Incomer2]]-DS122)*1000&lt;0,0,(RD[[#This Row],[33 kV_F4_Ex
Incomer2]]-DS122)*1000)</f>
        <v>75500</v>
      </c>
      <c r="EK123" s="140">
        <f>IF((RD[[#This Row],[34 kV_F4_Im
Incomer2]]-DT122)*1000&lt;0,0,(RD[[#This Row],[34 kV_F4_Im
Incomer2]]-DT122)*1000)</f>
        <v>300.00000000001137</v>
      </c>
      <c r="EL123" s="140">
        <f>IF((RD[[#This Row],[33 kV_F5_Ex
Incomer3]]-DU122)*1000&lt;0,0,(RD[[#This Row],[33 kV_F5_Ex
Incomer3]]-DU122)*1000)</f>
        <v>98300.00000000291</v>
      </c>
      <c r="EM123" s="140">
        <f>IF((RD[[#This Row],[34 kV_F5_Im
Incomer3]]-DV122)*1000&lt;0,0,(RD[[#This Row],[34 kV_F5_Im
Incomer3]]-DV122)*1000)</f>
        <v>600.00000000002274</v>
      </c>
      <c r="EN123" s="140">
        <f>IF((RD[[#This Row],[33 kV_F6_Ex
Incomer4]]-DW122)*1000&lt;0,0,(RD[[#This Row],[33 kV_F6_Ex
Incomer4]]-DW122)*1000)</f>
        <v>32299.999999999272</v>
      </c>
      <c r="EO123" s="140">
        <f t="shared" si="166"/>
        <v>300.00000000001137</v>
      </c>
      <c r="EP123" s="140">
        <f>IF((RD[[#This Row],[33 kV_F7_Ex
Incomer5]]-DY122)*1000&lt;0,0,(RD[[#This Row],[33 kV_F7_Ex
Incomer5]]-DY122)*1000)</f>
        <v>91599.999999999447</v>
      </c>
      <c r="EQ123" s="140">
        <f>IF((RD[[#This Row],[33 kV_F7_Im
Incomer5]]-DZ122)*1000&lt;0,0,(RD[[#This Row],[33 kV_F7_Im
Incomer5]]-DZ122)*1000)</f>
        <v>699.99999999999568</v>
      </c>
      <c r="ER123" s="140">
        <f>IF((RD[[#This Row],[33 kV_Aux Trafo]]-EA122)*1000&lt;0,0,(RD[[#This Row],[33 kV_Aux Trafo]]-EA122)*1000)</f>
        <v>290.00000000000625</v>
      </c>
      <c r="ES123" s="152">
        <f>IF((RD[[#This Row],[33kV_OG1_Ex_]]-EB122)*1&lt;0,0,(RD[[#This Row],[33kV_OG1_Ex_]]-EB122)*1)</f>
        <v>401949</v>
      </c>
      <c r="ET123" s="140">
        <f>IF((RD[[#This Row],[33kV_OG1_Im]]-EC122)*1&lt;0,0,(RD[[#This Row],[33kV_OG1_Im]]-EC122)*1)</f>
        <v>2611.5840000000317</v>
      </c>
      <c r="EU123" s="140">
        <f>IF((RD[[#This Row],[132kV_TX1_EX]]-ED122)*720&lt;=0,"",(RD[[#This Row],[132kV_TX1_EX]]-ED122)*720)</f>
        <v>2160</v>
      </c>
      <c r="EV123" s="140">
        <f>IF((RD[[#This Row],[132 kV_Tx1_Im]]-EE122)*720&lt;=0,0,(RD[[#This Row],[132 kV_Tx1_Im]]-EE122)*720)</f>
        <v>288000</v>
      </c>
      <c r="EW123" s="140">
        <f>IF((RD[[#This Row],[132kV_L1_Ex]]-EF122)*720&lt;=0,0,(RD[[#This Row],[132kV_L1_Ex]]-EF122)*720)</f>
        <v>400751.99999998324</v>
      </c>
      <c r="EX123" s="140">
        <f>IF((RD[[#This Row],[132kV_L1_Im]]-EG122)*720&lt;=0,0,(RD[[#This Row],[132kV_L1_Im]]-EG122)*720)</f>
        <v>3167.9999999997381</v>
      </c>
      <c r="EY123" s="316">
        <f>IFERROR(RD[[#This Row],[33kV_OG1_Ex (MWh)]]+RD[[#This Row],[33kV_OG1_Im (MWh)]],"")</f>
        <v>404560.58400000003</v>
      </c>
      <c r="EZ123" s="142">
        <f>RD[[#This Row],[33kV_OG1_Ex (MWh)]]-RD[[#This Row],[33kV_OG1_Im (MWh)]]</f>
        <v>399337.41599999997</v>
      </c>
      <c r="FA123" s="142">
        <f>IFERROR(RD[[#This Row],[132kV_L1_Ex(MWh)]]-RD[[#This Row],[132kV_L1_Im(MWh)]],"")</f>
        <v>397583.99999998347</v>
      </c>
      <c r="FB123" s="318">
        <f>IFERROR(RD[[#This Row],[33kV_Ex(MWh)]]/RD[[#This Row],[Inv Total Gneration (MWh)]]-1,"")</f>
        <v>-1.5344105603823932E-3</v>
      </c>
      <c r="FC123" s="319">
        <f>IFERROR((RD[[#This Row],[Sunset Time (POA&lt;20 W/m2)]]-RD[[#This Row],[Sunrise Time (POA&gt;20 W/m2)]])*24,0)</f>
        <v>12.150000000000002</v>
      </c>
      <c r="FD123" s="320">
        <v>129.05000000000001</v>
      </c>
      <c r="FE123" t="s">
        <v>1327</v>
      </c>
      <c r="FG123" s="138" t="str">
        <f>IFERROR(RD[[#This Row],[E_AC (WPR)]]/RD[[#This Row],[E_DC (WPR)]],"")</f>
        <v/>
      </c>
    </row>
    <row r="124" spans="1:163">
      <c r="A124" s="130">
        <f t="shared" si="167"/>
        <v>45864</v>
      </c>
      <c r="B124" s="132">
        <f>YEAR(RD[[#This Row],[Date]])+IF(MONTH(RD[[#This Row],[Date]])&gt;=4,1,0)</f>
        <v>2026</v>
      </c>
      <c r="C124" s="132">
        <f>YEAR(RD[[#This Row],[Date]])</f>
        <v>2025</v>
      </c>
      <c r="D124" s="133">
        <f t="shared" si="171"/>
        <v>45839</v>
      </c>
      <c r="E124" s="132">
        <f>DAY(EOMONTH(RD[[#This Row],[Date]],0))</f>
        <v>31</v>
      </c>
      <c r="F124" s="146">
        <v>0.26944444444444443</v>
      </c>
      <c r="G124" s="156">
        <v>0.74722222222222223</v>
      </c>
      <c r="H124" s="121">
        <v>1789.2</v>
      </c>
      <c r="I124" s="257">
        <v>1791.3</v>
      </c>
      <c r="J124" s="121">
        <v>1674.4</v>
      </c>
      <c r="K124" s="121">
        <v>1680</v>
      </c>
      <c r="L124" s="121">
        <v>1740</v>
      </c>
      <c r="M124" s="121">
        <v>1790.3</v>
      </c>
      <c r="N124" s="121">
        <v>1720.2</v>
      </c>
      <c r="O124" s="121">
        <v>1932.5</v>
      </c>
      <c r="P124" s="121">
        <v>1740.1</v>
      </c>
      <c r="Q124" s="121">
        <v>1736.6</v>
      </c>
      <c r="R124" s="121">
        <v>1711.8</v>
      </c>
      <c r="S124" s="255">
        <v>1724.1</v>
      </c>
      <c r="T124" s="121">
        <v>1780.9</v>
      </c>
      <c r="U124" s="121">
        <v>1833.4</v>
      </c>
      <c r="V124" s="121">
        <v>1845.7</v>
      </c>
      <c r="W124" s="121">
        <v>1754.6</v>
      </c>
      <c r="X124" s="283">
        <v>2581.3000000000002</v>
      </c>
      <c r="Y124" s="192">
        <v>2633.9</v>
      </c>
      <c r="Z124" s="192">
        <v>2496</v>
      </c>
      <c r="AA124" s="192">
        <v>2617</v>
      </c>
      <c r="AB124" s="283">
        <v>2907.9</v>
      </c>
      <c r="AC124" s="192">
        <v>1773.3</v>
      </c>
      <c r="AD124" s="192">
        <v>2670</v>
      </c>
      <c r="AE124" s="192">
        <v>2735.7</v>
      </c>
      <c r="AF124" s="283">
        <v>2656.8</v>
      </c>
      <c r="AG124" s="192">
        <v>2631.5</v>
      </c>
      <c r="AH124" s="192">
        <v>2654.6</v>
      </c>
      <c r="AI124" s="283">
        <v>2672</v>
      </c>
      <c r="AJ124" s="136">
        <v>2153.1999999999998</v>
      </c>
      <c r="AK124" s="136">
        <v>2228.1</v>
      </c>
      <c r="AL124" s="136">
        <v>2227</v>
      </c>
      <c r="AM124" s="136">
        <v>2252.5</v>
      </c>
      <c r="AN124" s="136">
        <v>2240</v>
      </c>
      <c r="AO124" s="136">
        <v>2286.6</v>
      </c>
      <c r="AP124" s="136">
        <v>2285.6</v>
      </c>
      <c r="AQ124" s="136">
        <v>2269.8000000000002</v>
      </c>
      <c r="AR124" s="136">
        <v>1731.7</v>
      </c>
      <c r="AS124" s="136">
        <v>1749.5</v>
      </c>
      <c r="AT124" s="136">
        <v>1754.6</v>
      </c>
      <c r="AU124" s="136">
        <v>1737.1</v>
      </c>
      <c r="AV124" s="136">
        <v>1777.6</v>
      </c>
      <c r="AW124" s="136">
        <v>1750.5</v>
      </c>
      <c r="AX124" s="136">
        <v>2576.4</v>
      </c>
      <c r="AY124" s="136">
        <v>2931</v>
      </c>
      <c r="AZ124" s="136">
        <v>2092.1999999999998</v>
      </c>
      <c r="BA124" s="136">
        <v>2579.9</v>
      </c>
      <c r="BB124" s="136">
        <v>2592</v>
      </c>
      <c r="BC124" s="136">
        <v>2467.4</v>
      </c>
      <c r="BD124" s="136">
        <v>2208.8000000000002</v>
      </c>
      <c r="BE124" s="136">
        <v>2418.1</v>
      </c>
      <c r="BF124" s="136">
        <v>2615.1</v>
      </c>
      <c r="BG124" s="136">
        <v>2660.5</v>
      </c>
      <c r="BH124" s="136">
        <v>2643.1</v>
      </c>
      <c r="BI124" s="136">
        <v>2722.6</v>
      </c>
      <c r="BJ124" s="136">
        <v>1644.1</v>
      </c>
      <c r="BK124" s="136">
        <v>1282.8</v>
      </c>
      <c r="BL124" s="136">
        <v>1557.4</v>
      </c>
      <c r="BM124" s="136">
        <v>1562.6</v>
      </c>
      <c r="BN124" s="136">
        <v>1761.5</v>
      </c>
      <c r="BO124" s="136">
        <v>1676</v>
      </c>
      <c r="BP124" s="136">
        <v>1859</v>
      </c>
      <c r="BQ124" s="136">
        <v>1823.2</v>
      </c>
      <c r="BR124" s="136">
        <v>1959.4</v>
      </c>
      <c r="BS124" s="136">
        <v>2046.9</v>
      </c>
      <c r="BT124" s="136">
        <v>2116.1999999999998</v>
      </c>
      <c r="BU124" s="136">
        <v>2111</v>
      </c>
      <c r="BV124" s="192">
        <v>1715.8</v>
      </c>
      <c r="BW124" s="192">
        <v>1629.5</v>
      </c>
      <c r="BX124" s="192">
        <v>1488.4</v>
      </c>
      <c r="BY124" s="192">
        <v>1737.7</v>
      </c>
      <c r="BZ124" s="136">
        <v>1489.4</v>
      </c>
      <c r="CA124" s="136">
        <v>132.4</v>
      </c>
      <c r="CB124" s="136">
        <v>1527.3</v>
      </c>
      <c r="CC124" s="136">
        <v>1589.2</v>
      </c>
      <c r="CD124" s="195">
        <v>1.390158099999999</v>
      </c>
      <c r="CE124" s="59">
        <v>1.2535744999999983</v>
      </c>
      <c r="CF124" s="195">
        <v>1.0775832499999991</v>
      </c>
      <c r="CG124" s="195">
        <v>1.2542251333333305</v>
      </c>
      <c r="CH124" s="195">
        <v>0.17040068333333336</v>
      </c>
      <c r="CI124" s="195">
        <v>0.16467506666666648</v>
      </c>
      <c r="CJ124" s="59">
        <v>0.23079694999999992</v>
      </c>
      <c r="CK124" s="59">
        <v>0.16802166666666682</v>
      </c>
      <c r="CL124" s="195">
        <v>25.452812241521887</v>
      </c>
      <c r="CM124" s="195">
        <v>25.050741962077556</v>
      </c>
      <c r="CN124" s="195">
        <v>31.990774193548372</v>
      </c>
      <c r="CO124" s="195">
        <v>29.608868095630697</v>
      </c>
      <c r="CP124" s="195">
        <v>96.642208436724445</v>
      </c>
      <c r="CQ124" s="195">
        <v>95.643940643033872</v>
      </c>
      <c r="CR124" s="195">
        <v>0.41988420181968295</v>
      </c>
      <c r="CS124" s="59">
        <v>0.26643033800494509</v>
      </c>
      <c r="CT124" s="195">
        <v>1.4128312655086874</v>
      </c>
      <c r="CU124" s="195">
        <v>1.5081788953009079</v>
      </c>
      <c r="CV124" s="195">
        <v>2.6040000000000001</v>
      </c>
      <c r="CW124" s="247">
        <v>2.5529999999999999</v>
      </c>
      <c r="CX124" s="193">
        <f>IFERROR(AVERAGEIF(RD[[#This Row],[IS1POA1 (KWh/m2)]:[IS7POA2 (KWh/m2)]],"&lt;&gt;0",RD[[#This Row],[IS1POA1 (KWh/m2)]:[IS7POA2 (KWh/m2)]]),"")</f>
        <v>1.3218662999999986</v>
      </c>
      <c r="CY124" s="193">
        <f>IFERROR(AVERAGEIF(RD[[#This Row],[IS1GHI1 (KWh/m2)]:[IS7GHI2 (KWh/m2)]],"&lt;&gt;0",RD[[#This Row],[IS1GHI1 (KWh/m2)]:[IS7GHI2 (KWh/m2)]]),"")</f>
        <v>1.1659041916666648</v>
      </c>
      <c r="CZ124" s="193">
        <f>IFERROR(AVERAGEIF(RD[[#This Row],[IS1POA_BS1 (KWh/m2)]:[IS7POA_BS2 (KWh/m2)]],"&lt;&gt;0",RD[[#This Row],[IS1POA_BS1 (KWh/m2)]:[IS7POA_BS2 (KWh/m2)]]),"")</f>
        <v>0.16753787499999992</v>
      </c>
      <c r="DA124" s="193">
        <f>IFERROR(AVERAGEIF(RD[[#This Row],[IS1GHI_BS1 (KWh/m2)]:[IS1GHI_BS1 (KWh/m2)2]],"&lt;&gt;0",RD[[#This Row],[IS1GHI_BS1 (KWh/m2)]:[IS1GHI_BS1 (KWh/m2)2]]),"")</f>
        <v>0.19940930833333337</v>
      </c>
      <c r="DB124" s="193">
        <f>IFERROR(AVERAGEIF(RD[[#This Row],[IS1AT1 (°C)]:[IS7AT2 (°C)]],"&lt;&gt;0",RD[[#This Row],[IS1AT1 (°C)]:[IS7AT2 (°C)]]),"")</f>
        <v>25.251777101799721</v>
      </c>
      <c r="DC124" s="193">
        <f>IFERROR(AVERAGEIF(RD[[#This Row],[IS1MT1 (°C)]:[IS7MT2 (°C)]],"&lt;&gt;0",RD[[#This Row],[IS1MT1 (°C)]:[IS7MT2 (°C)]]),"")</f>
        <v>30.799821144589536</v>
      </c>
      <c r="DD124" s="193">
        <f>IFERROR(AVERAGEIF(RD[[#This Row],[IS1RH1 (%)]:[IS7RH2 (%)]],"&lt;&gt;0",RD[[#This Row],[IS1RH1 (%)]:[IS7RH2 (%)]]),"")</f>
        <v>96.143074539879166</v>
      </c>
      <c r="DE124" s="193">
        <f>IFERROR(AVERAGEIF(RD[[#This Row],[IS1Rain1 (mm)]:[IS7Rain2 (mm)]],"&lt;&gt;0",RD[[#This Row],[IS1Rain1 (mm)]:[IS7Rain2 (mm)]]),"")</f>
        <v>0.34315726991231399</v>
      </c>
      <c r="DF124" s="193">
        <f>IFERROR(AVERAGEIF(RD[[#This Row],[WS_Solar1_Avg (m/s)]:[IS7_WS_Solar1_Avg (m/s)]],"&lt;&gt;0",RD[[#This Row],[WS_Solar1_Avg (m/s)]:[IS7_WS_Solar1_Avg (m/s)]]),"")</f>
        <v>1.4605050804047977</v>
      </c>
      <c r="DG124" s="193">
        <f>IFERROR(AVERAGEIF(RD[[#This Row],[WS_Solar1_Max (m/s)]:[IS7_WS_Solar1_Max (m/s)]],"&lt;&gt;0",RD[[#This Row],[WS_Solar1_Max (m/s)]:[IS7_WS_Solar1_Max (m/s)]]),"")</f>
        <v>2.5785</v>
      </c>
      <c r="DH124" s="193">
        <f>SUM(RD[[#This Row],[IS1Inv1M1]:[IS4Inv4M2]])</f>
        <v>59275.1</v>
      </c>
      <c r="DI124" s="194">
        <f>SUM(RD[[#This Row],[IS7Inv1M1]]+RD[[#This Row],[IS7Inv2M1]])</f>
        <v>3481.2</v>
      </c>
      <c r="DJ124" s="193">
        <f>SUM(RD[[#This Row],[IS5Inv1M1]:[IS5Inv2M2]])</f>
        <v>8860.7999999999993</v>
      </c>
      <c r="DK124" s="193">
        <f>SUM(RD[[#This Row],[IS8Inv1M1]:[IS9Inv2M2]])</f>
        <v>17199.3</v>
      </c>
      <c r="DL124" s="60">
        <f>SUM(RD[[#This Row],[IS6Inv1M1]:[IS6Inv2M2]])</f>
        <v>9082</v>
      </c>
      <c r="DM124" s="275">
        <f>SUM(RD[[#This Row],[IS10Inv1M1]:[IS11Inv1M4]],RD[[#This Row],[IS14Inv1M1]:[IS14Inv2M4]])</f>
        <v>37684.199999999997</v>
      </c>
      <c r="DN124" s="275">
        <f>SUM(RD[[#This Row],[IS12Inv1M1]:[IS12Inv1M4]])</f>
        <v>7119.7</v>
      </c>
      <c r="DO124" s="275">
        <f>SUM(RD[[#This Row],[IS13Inv1M1]:[IS13Inv2M2]])</f>
        <v>8233.5</v>
      </c>
      <c r="DP124" s="193">
        <f>SUM(RD[[#This Row],[O2R15]:[O2R26]])</f>
        <v>150935.79999999999</v>
      </c>
      <c r="DQ124" s="158">
        <v>46919.1</v>
      </c>
      <c r="DR124" s="162">
        <v>235.3</v>
      </c>
      <c r="DS124" s="158">
        <v>41110.800000000003</v>
      </c>
      <c r="DT124" s="158">
        <v>246.8</v>
      </c>
      <c r="DU124" s="162">
        <v>48803.1</v>
      </c>
      <c r="DV124" s="162">
        <v>463.9</v>
      </c>
      <c r="DW124" s="158">
        <v>11409.8</v>
      </c>
      <c r="DX124" s="162">
        <v>60.8</v>
      </c>
      <c r="DY124" s="162">
        <v>6048.3</v>
      </c>
      <c r="DZ124" s="162">
        <v>33</v>
      </c>
      <c r="EA124" s="134">
        <v>113.45</v>
      </c>
      <c r="EB124" s="230">
        <v>158873780</v>
      </c>
      <c r="EC124" s="229">
        <v>1117375.872</v>
      </c>
      <c r="ED124" s="230">
        <v>1341</v>
      </c>
      <c r="EE124" s="230">
        <v>153040</v>
      </c>
      <c r="EF124" s="158">
        <v>220252.9</v>
      </c>
      <c r="EG124" s="158">
        <v>2134.1</v>
      </c>
      <c r="EH124" s="140">
        <f>IF((RD[[#This Row],[33 kV_F3_Ex
Incomer1]]-DQ123)*1000&lt;0,0,(RD[[#This Row],[33 kV_F3_Ex
Incomer1]]-DQ123)*1000)</f>
        <v>30699.99999999709</v>
      </c>
      <c r="EI124" s="140">
        <f>IF((RD[[#This Row],[34 kV_F3_Im
Incomer1]]-DR123)*1000&lt;0,0,(RD[[#This Row],[34 kV_F3_Im
Incomer1]]-DR123)*1000)</f>
        <v>400.00000000000568</v>
      </c>
      <c r="EJ124" s="140">
        <f>IF((RD[[#This Row],[33 kV_F4_Ex
Incomer2]]-DS123)*1000&lt;0,0,(RD[[#This Row],[33 kV_F4_Ex
Incomer2]]-DS123)*1000)</f>
        <v>28400.000000001455</v>
      </c>
      <c r="EK124" s="140">
        <f>IF((RD[[#This Row],[34 kV_F4_Im
Incomer2]]-DT123)*1000&lt;0,0,(RD[[#This Row],[34 kV_F4_Im
Incomer2]]-DT123)*1000)</f>
        <v>400.00000000000568</v>
      </c>
      <c r="EL124" s="140">
        <f>IF((RD[[#This Row],[33 kV_F5_Ex
Incomer3]]-DU123)*1000&lt;0,0,(RD[[#This Row],[33 kV_F5_Ex
Incomer3]]-DU123)*1000)</f>
        <v>38799.999999995634</v>
      </c>
      <c r="EM124" s="140">
        <f>IF((RD[[#This Row],[34 kV_F5_Im
Incomer3]]-DV123)*1000&lt;0,0,(RD[[#This Row],[34 kV_F5_Im
Incomer3]]-DV123)*1000)</f>
        <v>599.99999999996589</v>
      </c>
      <c r="EN124" s="140">
        <f>IF((RD[[#This Row],[33 kV_F6_Ex
Incomer4]]-DW123)*1000&lt;0,0,(RD[[#This Row],[33 kV_F6_Ex
Incomer4]]-DW123)*1000)</f>
        <v>11799.999999999272</v>
      </c>
      <c r="EO124" s="140">
        <f t="shared" si="166"/>
        <v>299.99999999998295</v>
      </c>
      <c r="EP124" s="140">
        <f>IF((RD[[#This Row],[33 kV_F7_Ex
Incomer5]]-DY123)*1000&lt;0,0,(RD[[#This Row],[33 kV_F7_Ex
Incomer5]]-DY123)*1000)</f>
        <v>33600.000000000364</v>
      </c>
      <c r="EQ124" s="140">
        <f>IF((RD[[#This Row],[33 kV_F7_Im
Incomer5]]-DZ123)*1000&lt;0,0,(RD[[#This Row],[33 kV_F7_Im
Incomer5]]-DZ123)*1000)</f>
        <v>700.00000000000284</v>
      </c>
      <c r="ER124" s="140">
        <f>IF((RD[[#This Row],[33 kV_Aux Trafo]]-EA123)*1000&lt;0,0,(RD[[#This Row],[33 kV_Aux Trafo]]-EA123)*1000)</f>
        <v>269.99999999999602</v>
      </c>
      <c r="ES124" s="152">
        <f>IF((RD[[#This Row],[33kV_OG1_Ex_]]-EB123)*1&lt;0,0,(RD[[#This Row],[33kV_OG1_Ex_]]-EB123)*1)</f>
        <v>152322</v>
      </c>
      <c r="ET124" s="140">
        <f>IF((RD[[#This Row],[33kV_OG1_Im]]-EC123)*1&lt;0,0,(RD[[#This Row],[33kV_OG1_Im]]-EC123)*1)</f>
        <v>2651.903999999864</v>
      </c>
      <c r="EU124" s="140">
        <f>IF((RD[[#This Row],[132kV_TX1_EX]]-ED123)*720&lt;=0,"",(RD[[#This Row],[132kV_TX1_EX]]-ED123)*720)</f>
        <v>2160</v>
      </c>
      <c r="EV124" s="140">
        <f>IF((RD[[#This Row],[132 kV_Tx1_Im]]-EE123)*720&lt;=0,0,(RD[[#This Row],[132 kV_Tx1_Im]]-EE123)*720)</f>
        <v>109440</v>
      </c>
      <c r="EW124" s="140">
        <f>IF((RD[[#This Row],[132kV_L1_Ex]]-EF123)*720&lt;=0,0,(RD[[#This Row],[132kV_L1_Ex]]-EF123)*720)</f>
        <v>151632.00000000419</v>
      </c>
      <c r="EX124" s="140">
        <f>IF((RD[[#This Row],[132kV_L1_Im]]-EG123)*720&lt;=0,0,(RD[[#This Row],[132kV_L1_Im]]-EG123)*720)</f>
        <v>3168.0000000000655</v>
      </c>
      <c r="EY124" s="316">
        <f>IFERROR(RD[[#This Row],[33kV_OG1_Ex (MWh)]]+RD[[#This Row],[33kV_OG1_Im (MWh)]],"")</f>
        <v>154973.90399999986</v>
      </c>
      <c r="EZ124" s="142">
        <f>RD[[#This Row],[33kV_OG1_Ex (MWh)]]-RD[[#This Row],[33kV_OG1_Im (MWh)]]</f>
        <v>149670.09600000014</v>
      </c>
      <c r="FA124" s="142">
        <f>IFERROR(RD[[#This Row],[132kV_L1_Ex(MWh)]]-RD[[#This Row],[132kV_L1_Im(MWh)]],"")</f>
        <v>148464.00000000413</v>
      </c>
      <c r="FB124" s="318">
        <f>IFERROR(RD[[#This Row],[33kV_Ex(MWh)]]/RD[[#This Row],[Inv Total Gneration (MWh)]]-1,"")</f>
        <v>2.6753785384248552E-2</v>
      </c>
      <c r="FC124" s="319">
        <f>IFERROR((RD[[#This Row],[Sunset Time (POA&lt;20 W/m2)]]-RD[[#This Row],[Sunrise Time (POA&gt;20 W/m2)]])*24,0)</f>
        <v>11.466666666666667</v>
      </c>
      <c r="FD124" s="320">
        <v>129.05000000000001</v>
      </c>
      <c r="FE124" t="s">
        <v>1328</v>
      </c>
      <c r="FG124" s="138" t="str">
        <f>IFERROR(RD[[#This Row],[E_AC (WPR)]]/RD[[#This Row],[E_DC (WPR)]],"")</f>
        <v/>
      </c>
    </row>
    <row r="125" spans="1:163">
      <c r="A125" s="130">
        <f t="shared" si="167"/>
        <v>45865</v>
      </c>
      <c r="B125" s="132">
        <f>YEAR(RD[[#This Row],[Date]])+IF(MONTH(RD[[#This Row],[Date]])&gt;=4,1,0)</f>
        <v>2026</v>
      </c>
      <c r="C125" s="132">
        <f>YEAR(RD[[#This Row],[Date]])</f>
        <v>2025</v>
      </c>
      <c r="D125" s="133">
        <f t="shared" si="171"/>
        <v>45839</v>
      </c>
      <c r="E125" s="132">
        <f>DAY(EOMONTH(RD[[#This Row],[Date]],0))</f>
        <v>31</v>
      </c>
      <c r="F125" s="146">
        <v>0.27083333333333331</v>
      </c>
      <c r="G125" s="156">
        <v>0.76388888888888884</v>
      </c>
      <c r="H125" s="121">
        <v>3649.2</v>
      </c>
      <c r="I125" s="257">
        <v>3640.2</v>
      </c>
      <c r="J125" s="121">
        <v>3408.6</v>
      </c>
      <c r="K125" s="121">
        <v>3439.4</v>
      </c>
      <c r="L125" s="121">
        <v>3554.2</v>
      </c>
      <c r="M125" s="121">
        <v>3651.4</v>
      </c>
      <c r="N125" s="121">
        <v>3520.2</v>
      </c>
      <c r="O125" s="121">
        <v>3951.2</v>
      </c>
      <c r="P125" s="121">
        <v>3540.8</v>
      </c>
      <c r="Q125" s="121">
        <v>3531.1</v>
      </c>
      <c r="R125" s="121">
        <v>3601.5</v>
      </c>
      <c r="S125" s="255">
        <v>3597</v>
      </c>
      <c r="T125" s="121">
        <v>3611.1</v>
      </c>
      <c r="U125" s="121">
        <v>3660.8</v>
      </c>
      <c r="V125" s="121">
        <v>3716.8</v>
      </c>
      <c r="W125" s="121">
        <v>3544.1</v>
      </c>
      <c r="X125" s="283">
        <v>5020.6000000000004</v>
      </c>
      <c r="Y125" s="192">
        <v>5090.5</v>
      </c>
      <c r="Z125" s="192">
        <v>4866.1000000000004</v>
      </c>
      <c r="AA125" s="192">
        <v>5097.1000000000004</v>
      </c>
      <c r="AB125" s="283">
        <v>5543.5</v>
      </c>
      <c r="AC125" s="192">
        <v>3415.7</v>
      </c>
      <c r="AD125" s="192">
        <v>5121.8</v>
      </c>
      <c r="AE125" s="192">
        <v>5258.1</v>
      </c>
      <c r="AF125" s="283">
        <v>5133.8</v>
      </c>
      <c r="AG125" s="192">
        <v>5079.1000000000004</v>
      </c>
      <c r="AH125" s="192">
        <v>5105.5</v>
      </c>
      <c r="AI125" s="283">
        <v>5138.7</v>
      </c>
      <c r="AJ125" s="136">
        <v>4231.3999999999996</v>
      </c>
      <c r="AK125" s="136">
        <v>4378.3999999999996</v>
      </c>
      <c r="AL125" s="136">
        <v>4372.8999999999996</v>
      </c>
      <c r="AM125" s="136">
        <v>4407.8</v>
      </c>
      <c r="AN125" s="136">
        <v>4392.7</v>
      </c>
      <c r="AO125" s="136">
        <v>4477.6000000000004</v>
      </c>
      <c r="AP125" s="136">
        <v>4477.5</v>
      </c>
      <c r="AQ125" s="136">
        <v>4432.1000000000004</v>
      </c>
      <c r="AR125" s="136">
        <v>3490.9</v>
      </c>
      <c r="AS125" s="136">
        <v>3510.1</v>
      </c>
      <c r="AT125" s="136">
        <v>3545.4</v>
      </c>
      <c r="AU125" s="136">
        <v>3504.2</v>
      </c>
      <c r="AV125" s="136">
        <v>3578.2</v>
      </c>
      <c r="AW125" s="136">
        <v>3518.5</v>
      </c>
      <c r="AX125" s="136">
        <v>5002.8999999999996</v>
      </c>
      <c r="AY125" s="136">
        <v>5626.1</v>
      </c>
      <c r="AZ125" s="136">
        <v>4011.8</v>
      </c>
      <c r="BA125" s="136">
        <v>4935.3999999999996</v>
      </c>
      <c r="BB125" s="136">
        <v>5325.6</v>
      </c>
      <c r="BC125" s="136">
        <v>5053.2</v>
      </c>
      <c r="BD125" s="136">
        <v>4526.6000000000004</v>
      </c>
      <c r="BE125" s="136">
        <v>4990</v>
      </c>
      <c r="BF125" s="136">
        <v>5410.5</v>
      </c>
      <c r="BG125" s="136">
        <v>5536</v>
      </c>
      <c r="BH125" s="136">
        <v>5505.8</v>
      </c>
      <c r="BI125" s="136">
        <v>5637.4</v>
      </c>
      <c r="BJ125" s="136">
        <v>3572.7</v>
      </c>
      <c r="BK125" s="136">
        <v>2826.2</v>
      </c>
      <c r="BL125" s="136">
        <v>3394.5</v>
      </c>
      <c r="BM125" s="136">
        <v>3407.1</v>
      </c>
      <c r="BN125" s="136">
        <v>3859.2</v>
      </c>
      <c r="BO125" s="136">
        <v>3678.2</v>
      </c>
      <c r="BP125" s="136">
        <v>4054.7</v>
      </c>
      <c r="BQ125" s="136">
        <v>3969</v>
      </c>
      <c r="BR125" s="136">
        <v>4102.6000000000004</v>
      </c>
      <c r="BS125" s="136">
        <v>4271.3999999999996</v>
      </c>
      <c r="BT125" s="136">
        <v>4447.3999999999996</v>
      </c>
      <c r="BU125" s="136">
        <v>4442.5</v>
      </c>
      <c r="BV125" s="192">
        <v>3750.1</v>
      </c>
      <c r="BW125" s="192">
        <v>3569.1</v>
      </c>
      <c r="BX125" s="192">
        <v>3282.5</v>
      </c>
      <c r="BY125" s="192">
        <v>3812.9</v>
      </c>
      <c r="BZ125" s="136">
        <v>3310.9</v>
      </c>
      <c r="CA125" s="136">
        <v>439.2</v>
      </c>
      <c r="CB125" s="136">
        <v>3377.6</v>
      </c>
      <c r="CC125" s="136">
        <v>3479.2</v>
      </c>
      <c r="CD125" s="195">
        <v>2.8944348500000001</v>
      </c>
      <c r="CE125" s="59">
        <v>2.5655470000000027</v>
      </c>
      <c r="CF125" s="195">
        <v>2.2395866166666685</v>
      </c>
      <c r="CG125" s="195">
        <v>2.5588454333333357</v>
      </c>
      <c r="CH125" s="195">
        <v>0.36433664999999993</v>
      </c>
      <c r="CI125" s="195">
        <v>0.33610821666666685</v>
      </c>
      <c r="CJ125" s="59">
        <v>0.48186766666666636</v>
      </c>
      <c r="CK125" s="59">
        <v>0.34470601666666634</v>
      </c>
      <c r="CL125" s="195">
        <v>25.841357723577257</v>
      </c>
      <c r="CM125" s="195">
        <v>25.500696356275331</v>
      </c>
      <c r="CN125" s="195">
        <v>34.812180487804824</v>
      </c>
      <c r="CO125" s="195">
        <v>31.814706072874451</v>
      </c>
      <c r="CP125" s="195">
        <v>92.003504065040559</v>
      </c>
      <c r="CQ125" s="195">
        <v>91.683635627530393</v>
      </c>
      <c r="CR125" s="195">
        <v>4.8780487804878071E-2</v>
      </c>
      <c r="CS125" s="59">
        <v>6.8016194331984331E-2</v>
      </c>
      <c r="CT125" s="195">
        <v>1.386621951219513</v>
      </c>
      <c r="CU125" s="195">
        <v>1.4541716599190286</v>
      </c>
      <c r="CV125" s="195">
        <v>2.9430000000000001</v>
      </c>
      <c r="CW125" s="247">
        <v>3.1019999999999999</v>
      </c>
      <c r="CX125" s="193">
        <f>IFERROR(AVERAGEIF(RD[[#This Row],[IS1POA1 (KWh/m2)]:[IS7POA2 (KWh/m2)]],"&lt;&gt;0",RD[[#This Row],[IS1POA1 (KWh/m2)]:[IS7POA2 (KWh/m2)]]),"")</f>
        <v>2.7299909250000014</v>
      </c>
      <c r="CY125" s="193">
        <f>IFERROR(AVERAGEIF(RD[[#This Row],[IS1GHI1 (KWh/m2)]:[IS7GHI2 (KWh/m2)]],"&lt;&gt;0",RD[[#This Row],[IS1GHI1 (KWh/m2)]:[IS7GHI2 (KWh/m2)]]),"")</f>
        <v>2.3992160250000021</v>
      </c>
      <c r="CZ125" s="193">
        <f>IFERROR(AVERAGEIF(RD[[#This Row],[IS1POA_BS1 (KWh/m2)]:[IS7POA_BS2 (KWh/m2)]],"&lt;&gt;0",RD[[#This Row],[IS1POA_BS1 (KWh/m2)]:[IS7POA_BS2 (KWh/m2)]]),"")</f>
        <v>0.35022243333333336</v>
      </c>
      <c r="DA125" s="193">
        <f>IFERROR(AVERAGEIF(RD[[#This Row],[IS1GHI_BS1 (KWh/m2)]:[IS1GHI_BS1 (KWh/m2)2]],"&lt;&gt;0",RD[[#This Row],[IS1GHI_BS1 (KWh/m2)]:[IS1GHI_BS1 (KWh/m2)2]]),"")</f>
        <v>0.41328684166666635</v>
      </c>
      <c r="DB125" s="193">
        <f>IFERROR(AVERAGEIF(RD[[#This Row],[IS1AT1 (°C)]:[IS7AT2 (°C)]],"&lt;&gt;0",RD[[#This Row],[IS1AT1 (°C)]:[IS7AT2 (°C)]]),"")</f>
        <v>25.671027039926294</v>
      </c>
      <c r="DC125" s="193">
        <f>IFERROR(AVERAGEIF(RD[[#This Row],[IS1MT1 (°C)]:[IS7MT2 (°C)]],"&lt;&gt;0",RD[[#This Row],[IS1MT1 (°C)]:[IS7MT2 (°C)]]),"")</f>
        <v>33.313443280339641</v>
      </c>
      <c r="DD125" s="193">
        <f>IFERROR(AVERAGEIF(RD[[#This Row],[IS1RH1 (%)]:[IS7RH2 (%)]],"&lt;&gt;0",RD[[#This Row],[IS1RH1 (%)]:[IS7RH2 (%)]]),"")</f>
        <v>91.843569846285476</v>
      </c>
      <c r="DE125" s="193">
        <f>IFERROR(AVERAGEIF(RD[[#This Row],[IS1Rain1 (mm)]:[IS7Rain2 (mm)]],"&lt;&gt;0",RD[[#This Row],[IS1Rain1 (mm)]:[IS7Rain2 (mm)]]),"")</f>
        <v>5.8398341068431198E-2</v>
      </c>
      <c r="DF125" s="193">
        <f>IFERROR(AVERAGEIF(RD[[#This Row],[WS_Solar1_Avg (m/s)]:[IS7_WS_Solar1_Avg (m/s)]],"&lt;&gt;0",RD[[#This Row],[WS_Solar1_Avg (m/s)]:[IS7_WS_Solar1_Avg (m/s)]]),"")</f>
        <v>1.4203968055692708</v>
      </c>
      <c r="DG125" s="193">
        <f>IFERROR(AVERAGEIF(RD[[#This Row],[WS_Solar1_Max (m/s)]:[IS7_WS_Solar1_Max (m/s)]],"&lt;&gt;0",RD[[#This Row],[WS_Solar1_Max (m/s)]:[IS7_WS_Solar1_Max (m/s)]]),"")</f>
        <v>3.0225</v>
      </c>
      <c r="DH125" s="193">
        <f>SUM(RD[[#This Row],[IS1Inv1M1]:[IS4Inv4M2]])</f>
        <v>117488.10000000003</v>
      </c>
      <c r="DI125" s="194">
        <f>SUM(RD[[#This Row],[IS7Inv1M1]]+RD[[#This Row],[IS7Inv2M1]])</f>
        <v>7001</v>
      </c>
      <c r="DJ125" s="193">
        <f>SUM(RD[[#This Row],[IS5Inv1M1]:[IS5Inv2M2]])</f>
        <v>17390.5</v>
      </c>
      <c r="DK125" s="193">
        <f>SUM(RD[[#This Row],[IS8Inv1M1]:[IS9Inv2M2]])</f>
        <v>33722.499999999993</v>
      </c>
      <c r="DL125" s="60">
        <f>SUM(RD[[#This Row],[IS6Inv1M1]:[IS6Inv2M2]])</f>
        <v>17779.900000000001</v>
      </c>
      <c r="DM125" s="275">
        <f>SUM(RD[[#This Row],[IS10Inv1M1]:[IS11Inv1M4]],RD[[#This Row],[IS14Inv1M1]:[IS14Inv2M4]])</f>
        <v>80207.099999999977</v>
      </c>
      <c r="DN125" s="275">
        <f>SUM(RD[[#This Row],[IS12Inv1M1]:[IS12Inv1M4]])</f>
        <v>15561.099999999999</v>
      </c>
      <c r="DO125" s="275">
        <f>SUM(RD[[#This Row],[IS13Inv1M1]:[IS13Inv2M2]])</f>
        <v>17263.900000000001</v>
      </c>
      <c r="DP125" s="193">
        <f>SUM(RD[[#This Row],[O2R15]:[O2R26]])</f>
        <v>306414.09999999998</v>
      </c>
      <c r="DQ125" s="158">
        <v>46978.7</v>
      </c>
      <c r="DR125" s="162">
        <v>235.7</v>
      </c>
      <c r="DS125" s="335">
        <v>41166.800000000003</v>
      </c>
      <c r="DT125" s="158">
        <v>247.1</v>
      </c>
      <c r="DU125" s="162">
        <v>48878.7</v>
      </c>
      <c r="DV125" s="162">
        <v>464.6</v>
      </c>
      <c r="DW125" s="158">
        <v>11434.8</v>
      </c>
      <c r="DX125" s="162">
        <v>61</v>
      </c>
      <c r="DY125" s="162">
        <v>6118.5</v>
      </c>
      <c r="DZ125" s="162">
        <v>33.700000000000003</v>
      </c>
      <c r="EA125" s="134">
        <v>113.74</v>
      </c>
      <c r="EB125" s="230">
        <v>159179063</v>
      </c>
      <c r="EC125" s="229">
        <v>1120161.152</v>
      </c>
      <c r="ED125" s="230">
        <v>1344</v>
      </c>
      <c r="EE125" s="230">
        <v>153344</v>
      </c>
      <c r="EF125" s="158">
        <v>220675.6</v>
      </c>
      <c r="EG125" s="158">
        <v>2138.6999999999998</v>
      </c>
      <c r="EH125" s="140">
        <f>IF((RD[[#This Row],[33 kV_F3_Ex
Incomer1]]-DQ124)*1000&lt;0,0,(RD[[#This Row],[33 kV_F3_Ex
Incomer1]]-DQ124)*1000)</f>
        <v>59599.999999998545</v>
      </c>
      <c r="EI125" s="140">
        <f>IF((RD[[#This Row],[34 kV_F3_Im
Incomer1]]-DR124)*1000&lt;0,0,(RD[[#This Row],[34 kV_F3_Im
Incomer1]]-DR124)*1000)</f>
        <v>399.99999999997726</v>
      </c>
      <c r="EJ125" s="140">
        <f>IF((RD[[#This Row],[33 kV_F4_Ex
Incomer2]]-DS124)*1000&lt;0,0,(RD[[#This Row],[33 kV_F4_Ex
Incomer2]]-DS124)*1000)</f>
        <v>56000</v>
      </c>
      <c r="EK125" s="140">
        <f>IF((RD[[#This Row],[34 kV_F4_Im
Incomer2]]-DT124)*1000&lt;0,0,(RD[[#This Row],[34 kV_F4_Im
Incomer2]]-DT124)*1000)</f>
        <v>299.99999999998295</v>
      </c>
      <c r="EL125" s="140">
        <f>IF((RD[[#This Row],[33 kV_F5_Ex
Incomer3]]-DU124)*1000&lt;0,0,(RD[[#This Row],[33 kV_F5_Ex
Incomer3]]-DU124)*1000)</f>
        <v>75599.999999998545</v>
      </c>
      <c r="EM125" s="140">
        <f>IF((RD[[#This Row],[34 kV_F5_Im
Incomer3]]-DV124)*1000&lt;0,0,(RD[[#This Row],[34 kV_F5_Im
Incomer3]]-DV124)*1000)</f>
        <v>700.00000000004547</v>
      </c>
      <c r="EN125" s="140">
        <f>IF((RD[[#This Row],[33 kV_F6_Ex
Incomer4]]-DW124)*1000&lt;0,0,(RD[[#This Row],[33 kV_F6_Ex
Incomer4]]-DW124)*1000)</f>
        <v>25000</v>
      </c>
      <c r="EO125" s="140">
        <f t="shared" si="166"/>
        <v>400.00000000000568</v>
      </c>
      <c r="EP125" s="140">
        <f>IF((RD[[#This Row],[33 kV_F7_Ex
Incomer5]]-DY124)*1000&lt;0,0,(RD[[#This Row],[33 kV_F7_Ex
Incomer5]]-DY124)*1000)</f>
        <v>70199.999999999825</v>
      </c>
      <c r="EQ125" s="140">
        <f>IF((RD[[#This Row],[33 kV_F7_Im
Incomer5]]-DZ124)*1000&lt;0,0,(RD[[#This Row],[33 kV_F7_Im
Incomer5]]-DZ124)*1000)</f>
        <v>700.00000000000284</v>
      </c>
      <c r="ER125" s="140">
        <f>IF((RD[[#This Row],[33 kV_Aux Trafo]]-EA124)*1000&lt;0,0,(RD[[#This Row],[33 kV_Aux Trafo]]-EA124)*1000)</f>
        <v>289.99999999999204</v>
      </c>
      <c r="ES125" s="152">
        <f>IF((RD[[#This Row],[33kV_OG1_Ex_]]-EB124)*1&lt;0,0,(RD[[#This Row],[33kV_OG1_Ex_]]-EB124)*1)</f>
        <v>305283</v>
      </c>
      <c r="ET125" s="140">
        <f>IF((RD[[#This Row],[33kV_OG1_Im]]-EC124)*1&lt;0,0,(RD[[#This Row],[33kV_OG1_Im]]-EC124)*1)</f>
        <v>2785.2800000000279</v>
      </c>
      <c r="EU125" s="140">
        <f>IF((RD[[#This Row],[132kV_TX1_EX]]-ED124)*720&lt;=0,"",(RD[[#This Row],[132kV_TX1_EX]]-ED124)*720)</f>
        <v>2160</v>
      </c>
      <c r="EV125" s="140">
        <f>IF((RD[[#This Row],[132 kV_Tx1_Im]]-EE124)*720&lt;=0,0,(RD[[#This Row],[132 kV_Tx1_Im]]-EE124)*720)</f>
        <v>218880</v>
      </c>
      <c r="EW125" s="140">
        <f>IF((RD[[#This Row],[132kV_L1_Ex]]-EF124)*720&lt;=0,0,(RD[[#This Row],[132kV_L1_Ex]]-EF124)*720)</f>
        <v>304344.00000000838</v>
      </c>
      <c r="EX125" s="140">
        <f>IF((RD[[#This Row],[132kV_L1_Im]]-EG124)*720&lt;=0,0,(RD[[#This Row],[132kV_L1_Im]]-EG124)*720)</f>
        <v>3311.9999999999345</v>
      </c>
      <c r="EY125" s="316">
        <f>IFERROR(RD[[#This Row],[33kV_OG1_Ex (MWh)]]+RD[[#This Row],[33kV_OG1_Im (MWh)]],"")</f>
        <v>308068.28000000003</v>
      </c>
      <c r="EZ125" s="142">
        <f>RD[[#This Row],[33kV_OG1_Ex (MWh)]]-RD[[#This Row],[33kV_OG1_Im (MWh)]]</f>
        <v>302497.71999999997</v>
      </c>
      <c r="FA125" s="142">
        <f>IFERROR(RD[[#This Row],[132kV_L1_Ex(MWh)]]-RD[[#This Row],[132kV_L1_Im(MWh)]],"")</f>
        <v>301032.00000000844</v>
      </c>
      <c r="FB125" s="318">
        <f>IFERROR(RD[[#This Row],[33kV_Ex(MWh)]]/RD[[#This Row],[Inv Total Gneration (MWh)]]-1,"")</f>
        <v>5.3985113609329449E-3</v>
      </c>
      <c r="FC125" s="319">
        <f>IFERROR((RD[[#This Row],[Sunset Time (POA&lt;20 W/m2)]]-RD[[#This Row],[Sunrise Time (POA&gt;20 W/m2)]])*24,0)</f>
        <v>11.833333333333332</v>
      </c>
      <c r="FD125" s="320">
        <v>129.05000000000001</v>
      </c>
      <c r="FE125" t="s">
        <v>1328</v>
      </c>
      <c r="FG125" s="138" t="str">
        <f>IFERROR(RD[[#This Row],[E_AC (WPR)]]/RD[[#This Row],[E_DC (WPR)]],"")</f>
        <v/>
      </c>
    </row>
    <row r="126" spans="1:163">
      <c r="A126" s="130">
        <f t="shared" si="167"/>
        <v>45866</v>
      </c>
      <c r="B126" s="132">
        <f>YEAR(RD[[#This Row],[Date]])+IF(MONTH(RD[[#This Row],[Date]])&gt;=4,1,0)</f>
        <v>2026</v>
      </c>
      <c r="C126" s="132">
        <f>YEAR(RD[[#This Row],[Date]])</f>
        <v>2025</v>
      </c>
      <c r="D126" s="133">
        <f t="shared" si="171"/>
        <v>45839</v>
      </c>
      <c r="E126" s="132">
        <f>DAY(EOMONTH(RD[[#This Row],[Date]],0))</f>
        <v>31</v>
      </c>
      <c r="F126" s="146">
        <v>0.27361111111111114</v>
      </c>
      <c r="G126" s="156">
        <v>0.78125</v>
      </c>
      <c r="H126" s="121">
        <v>3538</v>
      </c>
      <c r="I126" s="257">
        <v>3566.7</v>
      </c>
      <c r="J126" s="121">
        <v>3331.2</v>
      </c>
      <c r="K126" s="121">
        <v>3295.3</v>
      </c>
      <c r="L126" s="121">
        <v>3394.9</v>
      </c>
      <c r="M126" s="121">
        <v>3494.3</v>
      </c>
      <c r="N126" s="121">
        <v>3388.4</v>
      </c>
      <c r="O126" s="121">
        <v>3812.1</v>
      </c>
      <c r="P126" s="121">
        <v>3436.7</v>
      </c>
      <c r="Q126" s="121">
        <v>3406.7</v>
      </c>
      <c r="R126" s="121">
        <v>3493.2</v>
      </c>
      <c r="S126" s="255">
        <v>3515</v>
      </c>
      <c r="T126" s="121">
        <v>3510.4</v>
      </c>
      <c r="U126" s="121">
        <v>3567.4</v>
      </c>
      <c r="V126" s="121">
        <v>3615</v>
      </c>
      <c r="W126" s="121">
        <v>3464.9</v>
      </c>
      <c r="X126" s="283">
        <v>4958.8999999999996</v>
      </c>
      <c r="Y126" s="192">
        <v>5033.8</v>
      </c>
      <c r="Z126" s="192">
        <v>4784.3</v>
      </c>
      <c r="AA126" s="192">
        <v>5018.3999999999996</v>
      </c>
      <c r="AB126" s="283">
        <v>5421.1</v>
      </c>
      <c r="AC126" s="192">
        <v>3333.1</v>
      </c>
      <c r="AD126" s="192">
        <v>4968</v>
      </c>
      <c r="AE126" s="192">
        <v>5086.1000000000004</v>
      </c>
      <c r="AF126" s="283">
        <v>5030.1000000000004</v>
      </c>
      <c r="AG126" s="192">
        <v>5011.3</v>
      </c>
      <c r="AH126" s="192">
        <v>4963.8999999999996</v>
      </c>
      <c r="AI126" s="283">
        <v>4983.2</v>
      </c>
      <c r="AJ126" s="136">
        <v>3788.6</v>
      </c>
      <c r="AK126" s="136">
        <v>3909.2</v>
      </c>
      <c r="AL126" s="136">
        <v>3896.9</v>
      </c>
      <c r="AM126" s="136">
        <v>3932</v>
      </c>
      <c r="AN126" s="136">
        <v>3913.9</v>
      </c>
      <c r="AO126" s="136">
        <v>3985.6</v>
      </c>
      <c r="AP126" s="136">
        <v>3989.8</v>
      </c>
      <c r="AQ126" s="136">
        <v>3956.2</v>
      </c>
      <c r="AR126" s="136">
        <v>3095.2</v>
      </c>
      <c r="AS126" s="136">
        <v>3120.2</v>
      </c>
      <c r="AT126" s="136">
        <v>3131.9</v>
      </c>
      <c r="AU126" s="136">
        <v>3113.4</v>
      </c>
      <c r="AV126" s="136">
        <v>3180.1</v>
      </c>
      <c r="AW126" s="136">
        <v>3129.5</v>
      </c>
      <c r="AX126" s="136">
        <v>4486.7</v>
      </c>
      <c r="AY126" s="136">
        <v>5072.7</v>
      </c>
      <c r="AZ126" s="136">
        <v>3614.1</v>
      </c>
      <c r="BA126" s="136">
        <v>4435.2</v>
      </c>
      <c r="BB126" s="136">
        <v>5408.2</v>
      </c>
      <c r="BC126" s="136">
        <v>5133.2</v>
      </c>
      <c r="BD126" s="136">
        <v>4594.3</v>
      </c>
      <c r="BE126" s="136">
        <v>5050.7</v>
      </c>
      <c r="BF126" s="136">
        <v>5467.4</v>
      </c>
      <c r="BG126" s="136">
        <v>5576.2</v>
      </c>
      <c r="BH126" s="136">
        <v>5548</v>
      </c>
      <c r="BI126" s="136">
        <v>5705.7</v>
      </c>
      <c r="BJ126" s="136">
        <v>3616.7</v>
      </c>
      <c r="BK126" s="136">
        <v>2858.3</v>
      </c>
      <c r="BL126" s="136">
        <v>3426.4</v>
      </c>
      <c r="BM126" s="136">
        <v>3448.6</v>
      </c>
      <c r="BN126" s="136">
        <v>3861</v>
      </c>
      <c r="BO126" s="136">
        <v>3685.5</v>
      </c>
      <c r="BP126" s="136">
        <v>4069.7</v>
      </c>
      <c r="BQ126" s="136">
        <v>3991.2</v>
      </c>
      <c r="BR126" s="136">
        <v>4163.3999999999996</v>
      </c>
      <c r="BS126" s="136">
        <v>4333.3</v>
      </c>
      <c r="BT126" s="136">
        <v>4490.5</v>
      </c>
      <c r="BU126" s="136">
        <v>4487</v>
      </c>
      <c r="BV126" s="192">
        <v>3752.1</v>
      </c>
      <c r="BW126" s="192">
        <v>3571.3</v>
      </c>
      <c r="BX126" s="192">
        <v>3283.9</v>
      </c>
      <c r="BY126" s="192">
        <v>3817</v>
      </c>
      <c r="BZ126" s="136">
        <v>3308.3</v>
      </c>
      <c r="CA126" s="136">
        <v>422.7</v>
      </c>
      <c r="CB126" s="136">
        <v>3376.9</v>
      </c>
      <c r="CC126" s="136">
        <v>3482.3</v>
      </c>
      <c r="CD126" s="195">
        <v>2.7790671666666702</v>
      </c>
      <c r="CE126" s="59">
        <v>2.2778625666666641</v>
      </c>
      <c r="CF126" s="195">
        <v>2.1511651833333345</v>
      </c>
      <c r="CG126" s="195">
        <v>2.2723348833333277</v>
      </c>
      <c r="CH126" s="195">
        <v>0.32012410000000024</v>
      </c>
      <c r="CI126" s="195">
        <v>0.29540166666666678</v>
      </c>
      <c r="CJ126" s="59">
        <v>0.46878070000000011</v>
      </c>
      <c r="CK126" s="59">
        <v>0.31033653333333328</v>
      </c>
      <c r="CL126" s="195">
        <v>25.886948207171333</v>
      </c>
      <c r="CM126" s="195">
        <v>25.683129467831485</v>
      </c>
      <c r="CN126" s="195">
        <v>34.162003984063716</v>
      </c>
      <c r="CO126" s="195">
        <v>31.401405877680649</v>
      </c>
      <c r="CP126" s="195">
        <v>85.19482071713152</v>
      </c>
      <c r="CQ126" s="195">
        <v>86.491334392374938</v>
      </c>
      <c r="CR126" s="195">
        <v>8.6055776892430422E-2</v>
      </c>
      <c r="CS126" s="59">
        <v>0.1810961080222393</v>
      </c>
      <c r="CT126" s="195">
        <v>1.7427274900398377</v>
      </c>
      <c r="CU126" s="195">
        <v>1.69233359809373</v>
      </c>
      <c r="CV126" s="195">
        <v>4.1879999999999997</v>
      </c>
      <c r="CW126" s="247">
        <v>3.657</v>
      </c>
      <c r="CX126" s="193">
        <f>IFERROR(AVERAGEIF(RD[[#This Row],[IS1POA1 (KWh/m2)]:[IS7POA2 (KWh/m2)]],"&lt;&gt;0",RD[[#This Row],[IS1POA1 (KWh/m2)]:[IS7POA2 (KWh/m2)]]),"")</f>
        <v>2.5284648666666669</v>
      </c>
      <c r="CY126" s="193">
        <f>IFERROR(AVERAGEIF(RD[[#This Row],[IS1GHI1 (KWh/m2)]:[IS7GHI2 (KWh/m2)]],"&lt;&gt;0",RD[[#This Row],[IS1GHI1 (KWh/m2)]:[IS7GHI2 (KWh/m2)]]),"")</f>
        <v>2.2117500333333311</v>
      </c>
      <c r="CZ126" s="193">
        <f>IFERROR(AVERAGEIF(RD[[#This Row],[IS1POA_BS1 (KWh/m2)]:[IS7POA_BS2 (KWh/m2)]],"&lt;&gt;0",RD[[#This Row],[IS1POA_BS1 (KWh/m2)]:[IS7POA_BS2 (KWh/m2)]]),"")</f>
        <v>0.30776288333333351</v>
      </c>
      <c r="DA126" s="193">
        <f>IFERROR(AVERAGEIF(RD[[#This Row],[IS1GHI_BS1 (KWh/m2)]:[IS1GHI_BS1 (KWh/m2)2]],"&lt;&gt;0",RD[[#This Row],[IS1GHI_BS1 (KWh/m2)]:[IS1GHI_BS1 (KWh/m2)2]]),"")</f>
        <v>0.38955861666666669</v>
      </c>
      <c r="DB126" s="193">
        <f>IFERROR(AVERAGEIF(RD[[#This Row],[IS1AT1 (°C)]:[IS7AT2 (°C)]],"&lt;&gt;0",RD[[#This Row],[IS1AT1 (°C)]:[IS7AT2 (°C)]]),"")</f>
        <v>25.785038837501411</v>
      </c>
      <c r="DC126" s="193">
        <f>IFERROR(AVERAGEIF(RD[[#This Row],[IS1MT1 (°C)]:[IS7MT2 (°C)]],"&lt;&gt;0",RD[[#This Row],[IS1MT1 (°C)]:[IS7MT2 (°C)]]),"")</f>
        <v>32.781704930872181</v>
      </c>
      <c r="DD126" s="193">
        <f>IFERROR(AVERAGEIF(RD[[#This Row],[IS1RH1 (%)]:[IS7RH2 (%)]],"&lt;&gt;0",RD[[#This Row],[IS1RH1 (%)]:[IS7RH2 (%)]]),"")</f>
        <v>85.843077554753222</v>
      </c>
      <c r="DE126" s="193">
        <f>IFERROR(AVERAGEIF(RD[[#This Row],[IS1Rain1 (mm)]:[IS7Rain2 (mm)]],"&lt;&gt;0",RD[[#This Row],[IS1Rain1 (mm)]:[IS7Rain2 (mm)]]),"")</f>
        <v>0.13357594245733487</v>
      </c>
      <c r="DF126" s="193">
        <f>IFERROR(AVERAGEIF(RD[[#This Row],[WS_Solar1_Avg (m/s)]:[IS7_WS_Solar1_Avg (m/s)]],"&lt;&gt;0",RD[[#This Row],[WS_Solar1_Avg (m/s)]:[IS7_WS_Solar1_Avg (m/s)]]),"")</f>
        <v>1.7175305440667838</v>
      </c>
      <c r="DG126" s="193">
        <f>IFERROR(AVERAGEIF(RD[[#This Row],[WS_Solar1_Max (m/s)]:[IS7_WS_Solar1_Max (m/s)]],"&lt;&gt;0",RD[[#This Row],[WS_Solar1_Max (m/s)]:[IS7_WS_Solar1_Max (m/s)]]),"")</f>
        <v>3.9224999999999999</v>
      </c>
      <c r="DH126" s="193">
        <f>SUM(RD[[#This Row],[IS1Inv1M1]:[IS4Inv4M2]])</f>
        <v>114422.40000000002</v>
      </c>
      <c r="DI126" s="194">
        <f>SUM(RD[[#This Row],[IS7Inv1M1]]+RD[[#This Row],[IS7Inv2M1]])</f>
        <v>6215.4</v>
      </c>
      <c r="DJ126" s="193">
        <f>SUM(RD[[#This Row],[IS5Inv1M1]:[IS5Inv2M2]])</f>
        <v>15526.699999999999</v>
      </c>
      <c r="DK126" s="193">
        <f>SUM(RD[[#This Row],[IS8Inv1M1]:[IS9Inv2M2]])</f>
        <v>30163.599999999999</v>
      </c>
      <c r="DL126" s="60">
        <f>SUM(RD[[#This Row],[IS6Inv1M1]:[IS6Inv2M2]])</f>
        <v>15845.5</v>
      </c>
      <c r="DM126" s="275">
        <f>SUM(RD[[#This Row],[IS10Inv1M1]:[IS11Inv1M4]],RD[[#This Row],[IS14Inv1M1]:[IS14Inv2M4]])</f>
        <v>80848.2</v>
      </c>
      <c r="DN126" s="275">
        <f>SUM(RD[[#This Row],[IS12Inv1M1]:[IS12Inv1M4]])</f>
        <v>15607.400000000001</v>
      </c>
      <c r="DO126" s="275">
        <f>SUM(RD[[#This Row],[IS13Inv1M1]:[IS13Inv2M2]])</f>
        <v>17474.2</v>
      </c>
      <c r="DP126" s="193">
        <f>SUM(RD[[#This Row],[O2R15]:[O2R26]])</f>
        <v>296103.40000000008</v>
      </c>
      <c r="DQ126" s="158">
        <v>47037</v>
      </c>
      <c r="DR126" s="162">
        <v>236</v>
      </c>
      <c r="DS126" s="335">
        <v>41221.300000000003</v>
      </c>
      <c r="DT126" s="158">
        <v>247.5</v>
      </c>
      <c r="DU126" s="162">
        <v>48946.400000000001</v>
      </c>
      <c r="DV126" s="162">
        <v>465.2</v>
      </c>
      <c r="DW126" s="158">
        <v>11459.9</v>
      </c>
      <c r="DX126" s="162">
        <v>61.3</v>
      </c>
      <c r="DY126" s="162">
        <v>6189.5</v>
      </c>
      <c r="DZ126" s="162">
        <v>34.4</v>
      </c>
      <c r="EA126" s="134">
        <v>114.01</v>
      </c>
      <c r="EB126" s="230">
        <v>159474368</v>
      </c>
      <c r="EC126" s="229">
        <v>1122733.952</v>
      </c>
      <c r="ED126" s="230">
        <v>1348</v>
      </c>
      <c r="EE126" s="230">
        <v>153638</v>
      </c>
      <c r="EF126" s="158">
        <v>221084.4</v>
      </c>
      <c r="EG126" s="158">
        <v>2143</v>
      </c>
      <c r="EH126" s="140">
        <f>IF((RD[[#This Row],[33 kV_F3_Ex
Incomer1]]-DQ125)*1000&lt;0,0,(RD[[#This Row],[33 kV_F3_Ex
Incomer1]]-DQ125)*1000)</f>
        <v>58300.00000000291</v>
      </c>
      <c r="EI126" s="140">
        <f>IF((RD[[#This Row],[34 kV_F3_Im
Incomer1]]-DR125)*1000&lt;0,0,(RD[[#This Row],[34 kV_F3_Im
Incomer1]]-DR125)*1000)</f>
        <v>300.00000000001137</v>
      </c>
      <c r="EJ126" s="140">
        <f>IF((RD[[#This Row],[33 kV_F4_Ex
Incomer2]]-DS125)*1000&lt;0,0,(RD[[#This Row],[33 kV_F4_Ex
Incomer2]]-DS125)*1000)</f>
        <v>54500</v>
      </c>
      <c r="EK126" s="140">
        <f>IF((RD[[#This Row],[34 kV_F4_Im
Incomer2]]-DT125)*1000&lt;0,0,(RD[[#This Row],[34 kV_F4_Im
Incomer2]]-DT125)*1000)</f>
        <v>400.00000000000568</v>
      </c>
      <c r="EL126" s="140">
        <f>IF((RD[[#This Row],[33 kV_F5_Ex
Incomer3]]-DU125)*1000&lt;0,0,(RD[[#This Row],[33 kV_F5_Ex
Incomer3]]-DU125)*1000)</f>
        <v>67700.000000004366</v>
      </c>
      <c r="EM126" s="140">
        <f>IF((RD[[#This Row],[34 kV_F5_Im
Incomer3]]-DV125)*1000&lt;0,0,(RD[[#This Row],[34 kV_F5_Im
Incomer3]]-DV125)*1000)</f>
        <v>599.99999999996589</v>
      </c>
      <c r="EN126" s="140">
        <f>IF((RD[[#This Row],[33 kV_F6_Ex
Incomer4]]-DW125)*1000&lt;0,0,(RD[[#This Row],[33 kV_F6_Ex
Incomer4]]-DW125)*1000)</f>
        <v>25100.000000000364</v>
      </c>
      <c r="EO126" s="140">
        <f t="shared" si="166"/>
        <v>300.00000000001137</v>
      </c>
      <c r="EP126" s="140">
        <f>IF((RD[[#This Row],[33 kV_F7_Ex
Incomer5]]-DY125)*1000&lt;0,0,(RD[[#This Row],[33 kV_F7_Ex
Incomer5]]-DY125)*1000)</f>
        <v>71000</v>
      </c>
      <c r="EQ126" s="140">
        <f>IF((RD[[#This Row],[33 kV_F7_Im
Incomer5]]-DZ125)*1000&lt;0,0,(RD[[#This Row],[33 kV_F7_Im
Incomer5]]-DZ125)*1000)</f>
        <v>699.99999999999568</v>
      </c>
      <c r="ER126" s="140">
        <f>IF((RD[[#This Row],[33 kV_Aux Trafo]]-EA125)*1000&lt;0,0,(RD[[#This Row],[33 kV_Aux Trafo]]-EA125)*1000)</f>
        <v>270.00000000001023</v>
      </c>
      <c r="ES126" s="152">
        <f>IF((RD[[#This Row],[33kV_OG1_Ex_]]-EB125)*1&lt;0,0,(RD[[#This Row],[33kV_OG1_Ex_]]-EB125)*1)</f>
        <v>295305</v>
      </c>
      <c r="ET126" s="140">
        <f>IF((RD[[#This Row],[33kV_OG1_Im]]-EC125)*1&lt;0,0,(RD[[#This Row],[33kV_OG1_Im]]-EC125)*1)</f>
        <v>2572.8000000000466</v>
      </c>
      <c r="EU126" s="140">
        <f>IF((RD[[#This Row],[132kV_TX1_EX]]-ED125)*720&lt;=0,"",(RD[[#This Row],[132kV_TX1_EX]]-ED125)*720)</f>
        <v>2880</v>
      </c>
      <c r="EV126" s="140">
        <f>IF((RD[[#This Row],[132 kV_Tx1_Im]]-EE125)*720&lt;=0,0,(RD[[#This Row],[132 kV_Tx1_Im]]-EE125)*720)</f>
        <v>211680</v>
      </c>
      <c r="EW126" s="140">
        <f>IF((RD[[#This Row],[132kV_L1_Ex]]-EF125)*720&lt;=0,0,(RD[[#This Row],[132kV_L1_Ex]]-EF125)*720)</f>
        <v>294335.99999999162</v>
      </c>
      <c r="EX126" s="140">
        <f>IF((RD[[#This Row],[132kV_L1_Im]]-EG125)*720&lt;=0,0,(RD[[#This Row],[132kV_L1_Im]]-EG125)*720)</f>
        <v>3096.000000000131</v>
      </c>
      <c r="EY126" s="316">
        <f>IFERROR(RD[[#This Row],[33kV_OG1_Ex (MWh)]]+RD[[#This Row],[33kV_OG1_Im (MWh)]],"")</f>
        <v>297877.80000000005</v>
      </c>
      <c r="EZ126" s="142">
        <f>RD[[#This Row],[33kV_OG1_Ex (MWh)]]-RD[[#This Row],[33kV_OG1_Im (MWh)]]</f>
        <v>292732.19999999995</v>
      </c>
      <c r="FA126" s="142">
        <f>IFERROR(RD[[#This Row],[132kV_L1_Ex(MWh)]]-RD[[#This Row],[132kV_L1_Im(MWh)]],"")</f>
        <v>291239.9999999915</v>
      </c>
      <c r="FB126" s="318">
        <f>IFERROR(RD[[#This Row],[33kV_Ex(MWh)]]/RD[[#This Row],[Inv Total Gneration (MWh)]]-1,"")</f>
        <v>5.9925012681378842E-3</v>
      </c>
      <c r="FC126" s="319">
        <f>IFERROR((RD[[#This Row],[Sunset Time (POA&lt;20 W/m2)]]-RD[[#This Row],[Sunrise Time (POA&gt;20 W/m2)]])*24,0)</f>
        <v>12.183333333333334</v>
      </c>
      <c r="FD126" s="320">
        <v>129.05000000000001</v>
      </c>
      <c r="FE126" t="s">
        <v>1328</v>
      </c>
      <c r="FG126" s="138" t="str">
        <f>IFERROR(RD[[#This Row],[E_AC (WPR)]]/RD[[#This Row],[E_DC (WPR)]],"")</f>
        <v/>
      </c>
    </row>
    <row r="127" spans="1:163">
      <c r="A127" s="130">
        <f t="shared" si="167"/>
        <v>45867</v>
      </c>
      <c r="B127" s="132">
        <f>YEAR(RD[[#This Row],[Date]])+IF(MONTH(RD[[#This Row],[Date]])&gt;=4,1,0)</f>
        <v>2026</v>
      </c>
      <c r="C127" s="132">
        <f>YEAR(RD[[#This Row],[Date]])</f>
        <v>2025</v>
      </c>
      <c r="D127" s="133">
        <f t="shared" si="171"/>
        <v>45839</v>
      </c>
      <c r="E127" s="132">
        <f>DAY(EOMONTH(RD[[#This Row],[Date]],0))</f>
        <v>31</v>
      </c>
      <c r="F127" s="146">
        <v>0.3034722222222222</v>
      </c>
      <c r="G127" s="156">
        <v>0.77152777777777781</v>
      </c>
      <c r="H127" s="121">
        <v>1788.3</v>
      </c>
      <c r="I127" s="257">
        <v>1804.9</v>
      </c>
      <c r="J127" s="121">
        <v>1678.8</v>
      </c>
      <c r="K127" s="121">
        <v>1667.7</v>
      </c>
      <c r="L127" s="121">
        <v>1724</v>
      </c>
      <c r="M127" s="121">
        <v>1769</v>
      </c>
      <c r="N127" s="121">
        <v>1710.3</v>
      </c>
      <c r="O127" s="121">
        <v>1924</v>
      </c>
      <c r="P127" s="121">
        <v>1746.1</v>
      </c>
      <c r="Q127" s="121">
        <v>1737.1</v>
      </c>
      <c r="R127" s="121">
        <v>1780.7</v>
      </c>
      <c r="S127" s="255">
        <v>1786.7</v>
      </c>
      <c r="T127" s="121">
        <v>1788</v>
      </c>
      <c r="U127" s="121">
        <v>1832.7</v>
      </c>
      <c r="V127" s="121">
        <v>1842</v>
      </c>
      <c r="W127" s="121">
        <v>1760.6</v>
      </c>
      <c r="X127" s="283">
        <v>2617.6999999999998</v>
      </c>
      <c r="Y127" s="192">
        <v>2675.2</v>
      </c>
      <c r="Z127" s="192">
        <v>2512.6999999999998</v>
      </c>
      <c r="AA127" s="192">
        <v>2637.2</v>
      </c>
      <c r="AB127" s="283">
        <v>2931</v>
      </c>
      <c r="AC127" s="192">
        <v>1788.7</v>
      </c>
      <c r="AD127" s="192">
        <v>2683.8</v>
      </c>
      <c r="AE127" s="192">
        <v>2741.2</v>
      </c>
      <c r="AF127" s="283">
        <v>2693.3</v>
      </c>
      <c r="AG127" s="192">
        <v>2678</v>
      </c>
      <c r="AH127" s="192">
        <v>2663</v>
      </c>
      <c r="AI127" s="283">
        <v>2674.7</v>
      </c>
      <c r="AJ127" s="136">
        <v>2147.4</v>
      </c>
      <c r="AK127" s="136">
        <v>2213.1</v>
      </c>
      <c r="AL127" s="136">
        <v>2205.3000000000002</v>
      </c>
      <c r="AM127" s="136">
        <v>2221.8000000000002</v>
      </c>
      <c r="AN127" s="136">
        <v>2224</v>
      </c>
      <c r="AO127" s="136">
        <v>2266</v>
      </c>
      <c r="AP127" s="136">
        <v>2269.9</v>
      </c>
      <c r="AQ127" s="136">
        <v>2249.9</v>
      </c>
      <c r="AR127" s="136">
        <v>1713.1</v>
      </c>
      <c r="AS127" s="136">
        <v>1718.5</v>
      </c>
      <c r="AT127" s="136">
        <v>1712.2</v>
      </c>
      <c r="AU127" s="136">
        <v>1712.9</v>
      </c>
      <c r="AV127" s="136">
        <v>1751.6</v>
      </c>
      <c r="AW127" s="136">
        <v>1723.2</v>
      </c>
      <c r="AX127" s="136">
        <v>2560.4</v>
      </c>
      <c r="AY127" s="136">
        <v>2907.5</v>
      </c>
      <c r="AZ127" s="136">
        <v>2068.6999999999998</v>
      </c>
      <c r="BA127" s="136">
        <v>2534.6</v>
      </c>
      <c r="BB127" s="136">
        <v>2869.6</v>
      </c>
      <c r="BC127" s="136">
        <v>2699</v>
      </c>
      <c r="BD127" s="136">
        <v>2407.6999999999998</v>
      </c>
      <c r="BE127" s="136">
        <v>2667.8</v>
      </c>
      <c r="BF127" s="136">
        <v>2911.6</v>
      </c>
      <c r="BG127" s="136">
        <v>3022.7</v>
      </c>
      <c r="BH127" s="136">
        <v>3026.9</v>
      </c>
      <c r="BI127" s="136">
        <v>3108.6</v>
      </c>
      <c r="BJ127" s="136">
        <v>1927.2</v>
      </c>
      <c r="BK127" s="136">
        <v>1507.1</v>
      </c>
      <c r="BL127" s="136">
        <v>1842.9</v>
      </c>
      <c r="BM127" s="136">
        <v>1852.2</v>
      </c>
      <c r="BN127" s="136">
        <v>2085.1999999999998</v>
      </c>
      <c r="BO127" s="136">
        <v>1998.5</v>
      </c>
      <c r="BP127" s="136">
        <v>2215</v>
      </c>
      <c r="BQ127" s="136">
        <v>2152.1</v>
      </c>
      <c r="BR127" s="136">
        <v>2356.3000000000002</v>
      </c>
      <c r="BS127" s="136">
        <v>2306.1999999999998</v>
      </c>
      <c r="BT127" s="136">
        <v>2527.1</v>
      </c>
      <c r="BU127" s="136">
        <v>2539.5</v>
      </c>
      <c r="BV127" s="192">
        <v>2140</v>
      </c>
      <c r="BW127" s="192">
        <v>2041.7</v>
      </c>
      <c r="BX127" s="192">
        <v>1898.9</v>
      </c>
      <c r="BY127" s="192">
        <v>2191.5</v>
      </c>
      <c r="BZ127" s="136">
        <v>1891.7</v>
      </c>
      <c r="CA127" s="136">
        <v>203.5</v>
      </c>
      <c r="CB127" s="136">
        <v>1897.7</v>
      </c>
      <c r="CC127" s="136">
        <v>1914</v>
      </c>
      <c r="CD127" s="195">
        <v>1.5163614833333301</v>
      </c>
      <c r="CE127" s="59">
        <v>1.2774720666666657</v>
      </c>
      <c r="CF127" s="195">
        <v>1.1011719166666682</v>
      </c>
      <c r="CG127" s="195">
        <v>1.2221081333333348</v>
      </c>
      <c r="CH127" s="195">
        <v>0.16195238333333328</v>
      </c>
      <c r="CI127" s="195">
        <v>0.16496091666666693</v>
      </c>
      <c r="CJ127" s="59">
        <v>0.23639878333333333</v>
      </c>
      <c r="CK127" s="59">
        <v>0.16925750000000003</v>
      </c>
      <c r="CL127" s="195">
        <v>24.918795768917761</v>
      </c>
      <c r="CM127" s="195">
        <v>24.624120032441162</v>
      </c>
      <c r="CN127" s="195">
        <v>32.33874776240846</v>
      </c>
      <c r="CO127" s="195">
        <v>29.737808596918075</v>
      </c>
      <c r="CP127" s="195">
        <v>93.446541903986969</v>
      </c>
      <c r="CQ127" s="195">
        <v>93.118718572587198</v>
      </c>
      <c r="CR127" s="195">
        <v>3.9056143205858568E-2</v>
      </c>
      <c r="CS127" s="59">
        <v>7.7858880778588893E-2</v>
      </c>
      <c r="CT127" s="195">
        <v>1.5494597233523186</v>
      </c>
      <c r="CU127" s="195">
        <v>1.5580778588807793</v>
      </c>
      <c r="CV127" s="195">
        <v>3.5070000000000001</v>
      </c>
      <c r="CW127" s="247">
        <v>3.129</v>
      </c>
      <c r="CX127" s="193">
        <f>IFERROR(AVERAGEIF(RD[[#This Row],[IS1POA1 (KWh/m2)]:[IS7POA2 (KWh/m2)]],"&lt;&gt;0",RD[[#This Row],[IS1POA1 (KWh/m2)]:[IS7POA2 (KWh/m2)]]),"")</f>
        <v>1.396916774999998</v>
      </c>
      <c r="CY127" s="193">
        <f>IFERROR(AVERAGEIF(RD[[#This Row],[IS1GHI1 (KWh/m2)]:[IS7GHI2 (KWh/m2)]],"&lt;&gt;0",RD[[#This Row],[IS1GHI1 (KWh/m2)]:[IS7GHI2 (KWh/m2)]]),"")</f>
        <v>1.1616400250000014</v>
      </c>
      <c r="CZ127" s="193">
        <f>IFERROR(AVERAGEIF(RD[[#This Row],[IS1POA_BS1 (KWh/m2)]:[IS7POA_BS2 (KWh/m2)]],"&lt;&gt;0",RD[[#This Row],[IS1POA_BS1 (KWh/m2)]:[IS7POA_BS2 (KWh/m2)]]),"")</f>
        <v>0.16345665000000009</v>
      </c>
      <c r="DA127" s="193">
        <f>IFERROR(AVERAGEIF(RD[[#This Row],[IS1GHI_BS1 (KWh/m2)]:[IS1GHI_BS1 (KWh/m2)2]],"&lt;&gt;0",RD[[#This Row],[IS1GHI_BS1 (KWh/m2)]:[IS1GHI_BS1 (KWh/m2)2]]),"")</f>
        <v>0.20282814166666668</v>
      </c>
      <c r="DB127" s="193">
        <f>IFERROR(AVERAGEIF(RD[[#This Row],[IS1AT1 (°C)]:[IS7AT2 (°C)]],"&lt;&gt;0",RD[[#This Row],[IS1AT1 (°C)]:[IS7AT2 (°C)]]),"")</f>
        <v>24.771457900679462</v>
      </c>
      <c r="DC127" s="193">
        <f>IFERROR(AVERAGEIF(RD[[#This Row],[IS1MT1 (°C)]:[IS7MT2 (°C)]],"&lt;&gt;0",RD[[#This Row],[IS1MT1 (°C)]:[IS7MT2 (°C)]]),"")</f>
        <v>31.038278179663266</v>
      </c>
      <c r="DD127" s="193">
        <f>IFERROR(AVERAGEIF(RD[[#This Row],[IS1RH1 (%)]:[IS7RH2 (%)]],"&lt;&gt;0",RD[[#This Row],[IS1RH1 (%)]:[IS7RH2 (%)]]),"")</f>
        <v>93.282630238287084</v>
      </c>
      <c r="DE127" s="193">
        <f>IFERROR(AVERAGEIF(RD[[#This Row],[IS1Rain1 (mm)]:[IS7Rain2 (mm)]],"&lt;&gt;0",RD[[#This Row],[IS1Rain1 (mm)]:[IS7Rain2 (mm)]]),"")</f>
        <v>5.845751199222373E-2</v>
      </c>
      <c r="DF127" s="193">
        <f>IFERROR(AVERAGEIF(RD[[#This Row],[WS_Solar1_Avg (m/s)]:[IS7_WS_Solar1_Avg (m/s)]],"&lt;&gt;0",RD[[#This Row],[WS_Solar1_Avg (m/s)]:[IS7_WS_Solar1_Avg (m/s)]]),"")</f>
        <v>1.553768791116549</v>
      </c>
      <c r="DG127" s="193">
        <f>IFERROR(AVERAGEIF(RD[[#This Row],[WS_Solar1_Max (m/s)]:[IS7_WS_Solar1_Max (m/s)]],"&lt;&gt;0",RD[[#This Row],[WS_Solar1_Max (m/s)]:[IS7_WS_Solar1_Max (m/s)]]),"")</f>
        <v>3.3180000000000001</v>
      </c>
      <c r="DH127" s="193">
        <f>SUM(RD[[#This Row],[IS1Inv1M1]:[IS4Inv4M2]])</f>
        <v>59637.399999999994</v>
      </c>
      <c r="DI127" s="194">
        <f>SUM(RD[[#This Row],[IS7Inv1M1]]+RD[[#This Row],[IS7Inv2M1]])</f>
        <v>3431.6</v>
      </c>
      <c r="DJ127" s="193">
        <f>SUM(RD[[#This Row],[IS5Inv1M1]:[IS5Inv2M2]])</f>
        <v>8787.6</v>
      </c>
      <c r="DK127" s="193">
        <f>SUM(RD[[#This Row],[IS8Inv1M1]:[IS9Inv2M2]])</f>
        <v>16971.099999999999</v>
      </c>
      <c r="DL127" s="60">
        <f>SUM(RD[[#This Row],[IS6Inv1M1]:[IS6Inv2M2]])</f>
        <v>9009.7999999999993</v>
      </c>
      <c r="DM127" s="275">
        <f>SUM(RD[[#This Row],[IS10Inv1M1]:[IS11Inv1M4]],RD[[#This Row],[IS14Inv1M1]:[IS14Inv2M4]])</f>
        <v>44022.299999999996</v>
      </c>
      <c r="DN127" s="275">
        <f>SUM(RD[[#This Row],[IS12Inv1M1]:[IS12Inv1M4]])</f>
        <v>8450.7999999999993</v>
      </c>
      <c r="DO127" s="275">
        <f>SUM(RD[[#This Row],[IS13Inv1M1]:[IS13Inv2M2]])</f>
        <v>9729.1</v>
      </c>
      <c r="DP127" s="193">
        <f>SUM(RD[[#This Row],[O2R15]:[O2R26]])</f>
        <v>160039.69999999998</v>
      </c>
      <c r="DQ127" s="158">
        <v>47068</v>
      </c>
      <c r="DR127" s="162">
        <v>236.5</v>
      </c>
      <c r="DS127" s="335">
        <v>41249.800000000003</v>
      </c>
      <c r="DT127" s="158">
        <v>247.9</v>
      </c>
      <c r="DU127" s="162">
        <v>48984.6</v>
      </c>
      <c r="DV127" s="162">
        <v>466</v>
      </c>
      <c r="DW127" s="158">
        <v>11474.5</v>
      </c>
      <c r="DX127" s="162">
        <v>61.6</v>
      </c>
      <c r="DY127" s="162">
        <v>6228.2</v>
      </c>
      <c r="DZ127" s="162">
        <v>35.200000000000003</v>
      </c>
      <c r="EA127" s="134">
        <v>114.32</v>
      </c>
      <c r="EB127" s="230">
        <v>159635537</v>
      </c>
      <c r="EC127" s="229">
        <v>1125872</v>
      </c>
      <c r="ED127" s="230">
        <v>1351</v>
      </c>
      <c r="EE127" s="230">
        <v>153798</v>
      </c>
      <c r="EF127" s="158">
        <v>221307.3</v>
      </c>
      <c r="EG127" s="158">
        <v>2148.1999999999998</v>
      </c>
      <c r="EH127" s="140">
        <f>IF((RD[[#This Row],[33 kV_F3_Ex
Incomer1]]-DQ126)*1000&lt;0,0,(RD[[#This Row],[33 kV_F3_Ex
Incomer1]]-DQ126)*1000)</f>
        <v>31000</v>
      </c>
      <c r="EI127" s="140">
        <f>IF((RD[[#This Row],[34 kV_F3_Im
Incomer1]]-DR126)*1000&lt;0,0,(RD[[#This Row],[34 kV_F3_Im
Incomer1]]-DR126)*1000)</f>
        <v>500</v>
      </c>
      <c r="EJ127" s="140">
        <f>IF((RD[[#This Row],[33 kV_F4_Ex
Incomer2]]-DS126)*1000&lt;0,0,(RD[[#This Row],[33 kV_F4_Ex
Incomer2]]-DS126)*1000)</f>
        <v>28500</v>
      </c>
      <c r="EK127" s="140">
        <f>IF((RD[[#This Row],[34 kV_F4_Im
Incomer2]]-DT126)*1000&lt;0,0,(RD[[#This Row],[34 kV_F4_Im
Incomer2]]-DT126)*1000)</f>
        <v>400.00000000000568</v>
      </c>
      <c r="EL127" s="140">
        <f>IF((RD[[#This Row],[33 kV_F5_Ex
Incomer3]]-DU126)*1000&lt;0,0,(RD[[#This Row],[33 kV_F5_Ex
Incomer3]]-DU126)*1000)</f>
        <v>38199.99999999709</v>
      </c>
      <c r="EM127" s="140">
        <f>IF((RD[[#This Row],[34 kV_F5_Im
Incomer3]]-DV126)*1000&lt;0,0,(RD[[#This Row],[34 kV_F5_Im
Incomer3]]-DV126)*1000)</f>
        <v>800.00000000001137</v>
      </c>
      <c r="EN127" s="140">
        <f>IF((RD[[#This Row],[33 kV_F6_Ex
Incomer4]]-DW126)*1000&lt;0,0,(RD[[#This Row],[33 kV_F6_Ex
Incomer4]]-DW126)*1000)</f>
        <v>14600.000000000364</v>
      </c>
      <c r="EO127" s="140">
        <f t="shared" si="166"/>
        <v>400.00000000000568</v>
      </c>
      <c r="EP127" s="140">
        <f>IF((RD[[#This Row],[33 kV_F7_Ex
Incomer5]]-DY126)*1000&lt;0,0,(RD[[#This Row],[33 kV_F7_Ex
Incomer5]]-DY126)*1000)</f>
        <v>38699.999999999818</v>
      </c>
      <c r="EQ127" s="140">
        <f>IF((RD[[#This Row],[33 kV_F7_Im
Incomer5]]-DZ126)*1000&lt;0,0,(RD[[#This Row],[33 kV_F7_Im
Incomer5]]-DZ126)*1000)</f>
        <v>800.00000000000432</v>
      </c>
      <c r="ER127" s="140">
        <f>IF((RD[[#This Row],[33 kV_Aux Trafo]]-EA126)*1000&lt;0,0,(RD[[#This Row],[33 kV_Aux Trafo]]-EA126)*1000)</f>
        <v>309.99999999998806</v>
      </c>
      <c r="ES127" s="152">
        <f>IF((RD[[#This Row],[33kV_OG1_Ex_]]-EB126)*1&lt;0,0,(RD[[#This Row],[33kV_OG1_Ex_]]-EB126)*1)</f>
        <v>161169</v>
      </c>
      <c r="ET127" s="140">
        <f>IF((RD[[#This Row],[33kV_OG1_Im]]-EC126)*1&lt;0,0,(RD[[#This Row],[33kV_OG1_Im]]-EC126)*1)</f>
        <v>3138.0479999999516</v>
      </c>
      <c r="EU127" s="140">
        <f>IF((RD[[#This Row],[132kV_TX1_EX]]-ED126)*720&lt;=0,"",(RD[[#This Row],[132kV_TX1_EX]]-ED126)*720)</f>
        <v>2160</v>
      </c>
      <c r="EV127" s="140">
        <f>IF((RD[[#This Row],[132 kV_Tx1_Im]]-EE126)*720&lt;=0,0,(RD[[#This Row],[132 kV_Tx1_Im]]-EE126)*720)</f>
        <v>115200</v>
      </c>
      <c r="EW127" s="140">
        <f>IF((RD[[#This Row],[132kV_L1_Ex]]-EF126)*720&lt;=0,0,(RD[[#This Row],[132kV_L1_Ex]]-EF126)*720)</f>
        <v>160487.99999999581</v>
      </c>
      <c r="EX127" s="140">
        <f>IF((RD[[#This Row],[132kV_L1_Im]]-EG126)*720&lt;=0,0,(RD[[#This Row],[132kV_L1_Im]]-EG126)*720)</f>
        <v>3743.999999999869</v>
      </c>
      <c r="EY127" s="316">
        <f>IFERROR(RD[[#This Row],[33kV_OG1_Ex (MWh)]]+RD[[#This Row],[33kV_OG1_Im (MWh)]],"")</f>
        <v>164307.04799999995</v>
      </c>
      <c r="EZ127" s="142">
        <f>RD[[#This Row],[33kV_OG1_Ex (MWh)]]-RD[[#This Row],[33kV_OG1_Im (MWh)]]</f>
        <v>158030.95200000005</v>
      </c>
      <c r="FA127" s="142">
        <f>IFERROR(RD[[#This Row],[132kV_L1_Ex(MWh)]]-RD[[#This Row],[132kV_L1_Im(MWh)]],"")</f>
        <v>156743.99999999593</v>
      </c>
      <c r="FB127" s="318">
        <f>IFERROR(RD[[#This Row],[33kV_Ex(MWh)]]/RD[[#This Row],[Inv Total Gneration (MWh)]]-1,"")</f>
        <v>2.6664308918349366E-2</v>
      </c>
      <c r="FC127" s="319">
        <f>IFERROR((RD[[#This Row],[Sunset Time (POA&lt;20 W/m2)]]-RD[[#This Row],[Sunrise Time (POA&gt;20 W/m2)]])*24,0)</f>
        <v>11.233333333333334</v>
      </c>
      <c r="FD127" s="320">
        <v>129.05000000000001</v>
      </c>
      <c r="FE127" t="s">
        <v>1328</v>
      </c>
      <c r="FG127" s="138" t="str">
        <f>IFERROR(RD[[#This Row],[E_AC (WPR)]]/RD[[#This Row],[E_DC (WPR)]],"")</f>
        <v/>
      </c>
    </row>
    <row r="128" spans="1:163">
      <c r="A128" s="130">
        <f t="shared" si="167"/>
        <v>45868</v>
      </c>
      <c r="B128" s="132">
        <f>YEAR(RD[[#This Row],[Date]])+IF(MONTH(RD[[#This Row],[Date]])&gt;=4,1,0)</f>
        <v>2026</v>
      </c>
      <c r="C128" s="132">
        <f>YEAR(RD[[#This Row],[Date]])</f>
        <v>2025</v>
      </c>
      <c r="D128" s="133">
        <f t="shared" si="171"/>
        <v>45839</v>
      </c>
      <c r="E128" s="132">
        <f>DAY(EOMONTH(RD[[#This Row],[Date]],0))</f>
        <v>31</v>
      </c>
      <c r="F128" s="146">
        <v>0.28680555555555554</v>
      </c>
      <c r="G128" s="156">
        <v>0.77777777777777779</v>
      </c>
      <c r="H128" s="121">
        <v>5127.8</v>
      </c>
      <c r="I128" s="257">
        <v>5156.3</v>
      </c>
      <c r="J128" s="121">
        <v>4824.7</v>
      </c>
      <c r="K128" s="121">
        <v>4830.6000000000004</v>
      </c>
      <c r="L128" s="121">
        <v>5008.3999999999996</v>
      </c>
      <c r="M128" s="121">
        <v>5118</v>
      </c>
      <c r="N128" s="121">
        <v>4936</v>
      </c>
      <c r="O128" s="121">
        <v>5518.5</v>
      </c>
      <c r="P128" s="121">
        <v>4995.7</v>
      </c>
      <c r="Q128" s="121">
        <v>4951.3</v>
      </c>
      <c r="R128" s="121">
        <v>5058.8</v>
      </c>
      <c r="S128" s="255">
        <v>5056.1000000000004</v>
      </c>
      <c r="T128" s="121">
        <v>5081.1000000000004</v>
      </c>
      <c r="U128" s="121">
        <v>5134.5</v>
      </c>
      <c r="V128" s="121">
        <v>5226.8</v>
      </c>
      <c r="W128" s="121">
        <v>5008.3999999999996</v>
      </c>
      <c r="X128" s="283">
        <v>7004.5</v>
      </c>
      <c r="Y128" s="192">
        <v>7083</v>
      </c>
      <c r="Z128" s="192">
        <v>6809.2</v>
      </c>
      <c r="AA128" s="192">
        <v>7125.1</v>
      </c>
      <c r="AB128" s="283">
        <v>7725.7</v>
      </c>
      <c r="AC128" s="192">
        <v>4761.3</v>
      </c>
      <c r="AD128" s="192">
        <v>7157</v>
      </c>
      <c r="AE128" s="192">
        <v>7364.8</v>
      </c>
      <c r="AF128" s="283">
        <v>7160.5</v>
      </c>
      <c r="AG128" s="192">
        <v>7102.2</v>
      </c>
      <c r="AH128" s="192">
        <v>7132.6</v>
      </c>
      <c r="AI128" s="283">
        <v>7189.2</v>
      </c>
      <c r="AJ128" s="136">
        <v>6003.1</v>
      </c>
      <c r="AK128" s="136">
        <v>6232.3</v>
      </c>
      <c r="AL128" s="136">
        <v>6275.3</v>
      </c>
      <c r="AM128" s="136">
        <v>6327.3</v>
      </c>
      <c r="AN128" s="136">
        <v>6292.4</v>
      </c>
      <c r="AO128" s="136">
        <v>6430.2</v>
      </c>
      <c r="AP128" s="136">
        <v>6425.1</v>
      </c>
      <c r="AQ128" s="136">
        <v>6373.8</v>
      </c>
      <c r="AR128" s="136">
        <v>5120.8999999999996</v>
      </c>
      <c r="AS128" s="136">
        <v>5141.8999999999996</v>
      </c>
      <c r="AT128" s="136">
        <v>5124.8</v>
      </c>
      <c r="AU128" s="136">
        <v>5113.7</v>
      </c>
      <c r="AV128" s="136">
        <v>5242.8</v>
      </c>
      <c r="AW128" s="136">
        <v>5168.1000000000004</v>
      </c>
      <c r="AX128" s="136">
        <v>7212.3</v>
      </c>
      <c r="AY128" s="136">
        <v>8245.5</v>
      </c>
      <c r="AZ128" s="136">
        <v>5934.3</v>
      </c>
      <c r="BA128" s="136">
        <v>7298.6</v>
      </c>
      <c r="BB128" s="136">
        <v>7528.6</v>
      </c>
      <c r="BC128" s="136">
        <v>7150.7</v>
      </c>
      <c r="BD128" s="136">
        <v>6407.1</v>
      </c>
      <c r="BE128" s="136">
        <v>7061.4</v>
      </c>
      <c r="BF128" s="136">
        <v>7601.3</v>
      </c>
      <c r="BG128" s="136">
        <v>7716.9</v>
      </c>
      <c r="BH128" s="136">
        <v>7685.7</v>
      </c>
      <c r="BI128" s="136">
        <v>7875.2</v>
      </c>
      <c r="BJ128" s="136">
        <v>5041.1000000000004</v>
      </c>
      <c r="BK128" s="136">
        <v>4000.8</v>
      </c>
      <c r="BL128" s="136">
        <v>4785.2</v>
      </c>
      <c r="BM128" s="136">
        <v>4804.3999999999996</v>
      </c>
      <c r="BN128" s="136">
        <v>5462.8</v>
      </c>
      <c r="BO128" s="136">
        <v>5205.3999999999996</v>
      </c>
      <c r="BP128" s="136">
        <v>5727</v>
      </c>
      <c r="BQ128" s="136">
        <v>5598.6</v>
      </c>
      <c r="BR128" s="136">
        <v>5550.4</v>
      </c>
      <c r="BS128" s="136">
        <v>5648.5</v>
      </c>
      <c r="BT128" s="136">
        <v>6165.2</v>
      </c>
      <c r="BU128" s="136">
        <v>6195.5</v>
      </c>
      <c r="BV128" s="192">
        <v>5233.1000000000004</v>
      </c>
      <c r="BW128" s="192">
        <v>4977.8</v>
      </c>
      <c r="BX128" s="192">
        <v>4661</v>
      </c>
      <c r="BY128" s="192">
        <v>5325.6</v>
      </c>
      <c r="BZ128" s="136">
        <v>4628.2</v>
      </c>
      <c r="CA128" s="136">
        <v>659.6</v>
      </c>
      <c r="CB128" s="136">
        <v>4711.6000000000004</v>
      </c>
      <c r="CC128" s="136">
        <v>5006.8999999999996</v>
      </c>
      <c r="CD128" s="195">
        <v>3.8</v>
      </c>
      <c r="CE128" s="59">
        <v>3.8664771499999979</v>
      </c>
      <c r="CF128" s="195">
        <v>3.2077797999999977</v>
      </c>
      <c r="CG128" s="195">
        <v>3.713160000000002</v>
      </c>
      <c r="CH128" s="195">
        <v>0.44359418333333361</v>
      </c>
      <c r="CI128" s="195">
        <v>0.52144006666666687</v>
      </c>
      <c r="CJ128" s="59">
        <v>0.69383899999999965</v>
      </c>
      <c r="CK128" s="59">
        <v>0.53305553333333311</v>
      </c>
      <c r="CL128" s="195">
        <v>26.295048701298757</v>
      </c>
      <c r="CM128" s="195">
        <v>26.196815235008078</v>
      </c>
      <c r="CN128" s="195">
        <v>37.336580357142864</v>
      </c>
      <c r="CO128" s="195">
        <v>34.870124797406824</v>
      </c>
      <c r="CP128" s="195">
        <v>86.938392857142873</v>
      </c>
      <c r="CQ128" s="195">
        <v>87.047552674230076</v>
      </c>
      <c r="CR128" s="195">
        <v>9.7402597402597314E-3</v>
      </c>
      <c r="CS128" s="59">
        <v>0</v>
      </c>
      <c r="CT128" s="195">
        <v>1.2449464285714291</v>
      </c>
      <c r="CU128" s="195">
        <v>1.3394270664505681</v>
      </c>
      <c r="CV128" s="195">
        <v>2.589</v>
      </c>
      <c r="CW128" s="247">
        <v>2.5739999999999998</v>
      </c>
      <c r="CX128" s="193">
        <f>IFERROR(AVERAGEIF(RD[[#This Row],[IS1POA1 (KWh/m2)]:[IS7POA2 (KWh/m2)]],"&lt;&gt;0",RD[[#This Row],[IS1POA1 (KWh/m2)]:[IS7POA2 (KWh/m2)]]),"")</f>
        <v>3.8332385749999989</v>
      </c>
      <c r="CY128" s="193">
        <f>IFERROR(AVERAGEIF(RD[[#This Row],[IS1GHI1 (KWh/m2)]:[IS7GHI2 (KWh/m2)]],"&lt;&gt;0",RD[[#This Row],[IS1GHI1 (KWh/m2)]:[IS7GHI2 (KWh/m2)]]),"")</f>
        <v>3.4604698999999997</v>
      </c>
      <c r="CZ128" s="193">
        <f>IFERROR(AVERAGEIF(RD[[#This Row],[IS1POA_BS1 (KWh/m2)]:[IS7POA_BS2 (KWh/m2)]],"&lt;&gt;0",RD[[#This Row],[IS1POA_BS1 (KWh/m2)]:[IS7POA_BS2 (KWh/m2)]]),"")</f>
        <v>0.48251712500000021</v>
      </c>
      <c r="DA128" s="193">
        <f>IFERROR(AVERAGEIF(RD[[#This Row],[IS1GHI_BS1 (KWh/m2)]:[IS1GHI_BS1 (KWh/m2)2]],"&lt;&gt;0",RD[[#This Row],[IS1GHI_BS1 (KWh/m2)]:[IS1GHI_BS1 (KWh/m2)2]]),"")</f>
        <v>0.61344726666666638</v>
      </c>
      <c r="DB128" s="193">
        <f>IFERROR(AVERAGEIF(RD[[#This Row],[IS1AT1 (°C)]:[IS7AT2 (°C)]],"&lt;&gt;0",RD[[#This Row],[IS1AT1 (°C)]:[IS7AT2 (°C)]]),"")</f>
        <v>26.245931968153418</v>
      </c>
      <c r="DC128" s="193">
        <f>IFERROR(AVERAGEIF(RD[[#This Row],[IS1MT1 (°C)]:[IS7MT2 (°C)]],"&lt;&gt;0",RD[[#This Row],[IS1MT1 (°C)]:[IS7MT2 (°C)]]),"")</f>
        <v>36.103352577274848</v>
      </c>
      <c r="DD128" s="193">
        <f>IFERROR(AVERAGEIF(RD[[#This Row],[IS1RH1 (%)]:[IS7RH2 (%)]],"&lt;&gt;0",RD[[#This Row],[IS1RH1 (%)]:[IS7RH2 (%)]]),"")</f>
        <v>86.992972765686474</v>
      </c>
      <c r="DE128" s="193">
        <f>IFERROR(AVERAGEIF(RD[[#This Row],[IS1Rain1 (mm)]:[IS7Rain2 (mm)]],"&lt;&gt;0",RD[[#This Row],[IS1Rain1 (mm)]:[IS7Rain2 (mm)]]),"")</f>
        <v>9.7402597402597314E-3</v>
      </c>
      <c r="DF128" s="193">
        <f>IFERROR(AVERAGEIF(RD[[#This Row],[WS_Solar1_Avg (m/s)]:[IS7_WS_Solar1_Avg (m/s)]],"&lt;&gt;0",RD[[#This Row],[WS_Solar1_Avg (m/s)]:[IS7_WS_Solar1_Avg (m/s)]]),"")</f>
        <v>1.2921867475109985</v>
      </c>
      <c r="DG128" s="193">
        <f>IFERROR(AVERAGEIF(RD[[#This Row],[WS_Solar1_Max (m/s)]:[IS7_WS_Solar1_Max (m/s)]],"&lt;&gt;0",RD[[#This Row],[WS_Solar1_Max (m/s)]:[IS7_WS_Solar1_Max (m/s)]]),"")</f>
        <v>2.5815000000000001</v>
      </c>
      <c r="DH128" s="193">
        <f>SUM(RD[[#This Row],[IS1Inv1M1]:[IS4Inv4M2]])</f>
        <v>164648.10000000003</v>
      </c>
      <c r="DI128" s="194">
        <f>SUM(RD[[#This Row],[IS7Inv1M1]]+RD[[#This Row],[IS7Inv2M1]])</f>
        <v>10262.799999999999</v>
      </c>
      <c r="DJ128" s="193">
        <f>SUM(RD[[#This Row],[IS5Inv1M1]:[IS5Inv2M2]])</f>
        <v>24838</v>
      </c>
      <c r="DK128" s="193">
        <f>SUM(RD[[#This Row],[IS8Inv1M1]:[IS9Inv2M2]])</f>
        <v>49340.1</v>
      </c>
      <c r="DL128" s="60">
        <f>SUM(RD[[#This Row],[IS6Inv1M1]:[IS6Inv2M2]])</f>
        <v>25521.499999999996</v>
      </c>
      <c r="DM128" s="275">
        <f>SUM(RD[[#This Row],[IS10Inv1M1]:[IS11Inv1M4]],RD[[#This Row],[IS14Inv1M1]:[IS14Inv2M4]])</f>
        <v>112862.20000000001</v>
      </c>
      <c r="DN128" s="275">
        <f>SUM(RD[[#This Row],[IS12Inv1M1]:[IS12Inv1M4]])</f>
        <v>21993.800000000003</v>
      </c>
      <c r="DO128" s="275">
        <f>SUM(RD[[#This Row],[IS13Inv1M1]:[IS13Inv2M2]])</f>
        <v>23559.599999999999</v>
      </c>
      <c r="DP128" s="193">
        <f>SUM(RD[[#This Row],[O2R15]:[O2R26]])</f>
        <v>433026.1</v>
      </c>
      <c r="DQ128" s="158">
        <v>47151.3</v>
      </c>
      <c r="DR128" s="162">
        <v>236.9</v>
      </c>
      <c r="DS128" s="335">
        <v>41327.800000000003</v>
      </c>
      <c r="DT128" s="158">
        <v>248.2</v>
      </c>
      <c r="DU128" s="162">
        <v>49093.7</v>
      </c>
      <c r="DV128" s="162">
        <v>466.6</v>
      </c>
      <c r="DW128" s="158">
        <v>11509.3</v>
      </c>
      <c r="DX128" s="162">
        <v>61.8</v>
      </c>
      <c r="DY128" s="162">
        <v>6325.9</v>
      </c>
      <c r="DZ128" s="162">
        <v>35.9</v>
      </c>
      <c r="EA128" s="134">
        <v>114.6</v>
      </c>
      <c r="EB128" s="230">
        <v>160064438</v>
      </c>
      <c r="EC128" s="229">
        <v>1128429.0560000001</v>
      </c>
      <c r="ED128" s="230">
        <v>1354</v>
      </c>
      <c r="EE128" s="230">
        <v>154225</v>
      </c>
      <c r="EF128" s="158">
        <v>221901.2</v>
      </c>
      <c r="EG128" s="158">
        <v>2152.4</v>
      </c>
      <c r="EH128" s="140">
        <f>IF((RD[[#This Row],[33 kV_F3_Ex
Incomer1]]-DQ127)*1000&lt;0,0,(RD[[#This Row],[33 kV_F3_Ex
Incomer1]]-DQ127)*1000)</f>
        <v>83300.00000000291</v>
      </c>
      <c r="EI128" s="140">
        <f>IF((RD[[#This Row],[34 kV_F3_Im
Incomer1]]-DR127)*1000&lt;0,0,(RD[[#This Row],[34 kV_F3_Im
Incomer1]]-DR127)*1000)</f>
        <v>400.00000000000568</v>
      </c>
      <c r="EJ128" s="140">
        <f>IF((RD[[#This Row],[33 kV_F4_Ex
Incomer2]]-DS127)*1000&lt;0,0,(RD[[#This Row],[33 kV_F4_Ex
Incomer2]]-DS127)*1000)</f>
        <v>78000</v>
      </c>
      <c r="EK128" s="140">
        <f>IF((RD[[#This Row],[34 kV_F4_Im
Incomer2]]-DT127)*1000&lt;0,0,(RD[[#This Row],[34 kV_F4_Im
Incomer2]]-DT127)*1000)</f>
        <v>299.99999999998295</v>
      </c>
      <c r="EL128" s="140">
        <f>IF((RD[[#This Row],[33 kV_F5_Ex
Incomer3]]-DU127)*1000&lt;0,0,(RD[[#This Row],[33 kV_F5_Ex
Incomer3]]-DU127)*1000)</f>
        <v>109099.99999999854</v>
      </c>
      <c r="EM128" s="140">
        <f>IF((RD[[#This Row],[34 kV_F5_Im
Incomer3]]-DV127)*1000&lt;0,0,(RD[[#This Row],[34 kV_F5_Im
Incomer3]]-DV127)*1000)</f>
        <v>600.00000000002274</v>
      </c>
      <c r="EN128" s="140">
        <f>IF((RD[[#This Row],[33 kV_F6_Ex
Incomer4]]-DW127)*1000&lt;0,0,(RD[[#This Row],[33 kV_F6_Ex
Incomer4]]-DW127)*1000)</f>
        <v>34799.999999999272</v>
      </c>
      <c r="EO128" s="140">
        <f t="shared" si="166"/>
        <v>299.99999999998295</v>
      </c>
      <c r="EP128" s="140">
        <f>IF((RD[[#This Row],[33 kV_F7_Ex
Incomer5]]-DY127)*1000&lt;0,0,(RD[[#This Row],[33 kV_F7_Ex
Incomer5]]-DY127)*1000)</f>
        <v>97699.999999999825</v>
      </c>
      <c r="EQ128" s="140">
        <f>IF((RD[[#This Row],[33 kV_F7_Im
Incomer5]]-DZ127)*1000&lt;0,0,(RD[[#This Row],[33 kV_F7_Im
Incomer5]]-DZ127)*1000)</f>
        <v>699.99999999999568</v>
      </c>
      <c r="ER128" s="140">
        <f>IF((RD[[#This Row],[33 kV_Aux Trafo]]-EA127)*1000&lt;0,0,(RD[[#This Row],[33 kV_Aux Trafo]]-EA127)*1000)</f>
        <v>280.00000000000114</v>
      </c>
      <c r="ES128" s="152">
        <f>IF((RD[[#This Row],[33kV_OG1_Ex_]]-EB127)*1&lt;0,0,(RD[[#This Row],[33kV_OG1_Ex_]]-EB127)*1)</f>
        <v>428901</v>
      </c>
      <c r="ET128" s="140">
        <f>IF((RD[[#This Row],[33kV_OG1_Im]]-EC127)*1&lt;0,0,(RD[[#This Row],[33kV_OG1_Im]]-EC127)*1)</f>
        <v>2557.0560000000987</v>
      </c>
      <c r="EU128" s="140">
        <f>IF((RD[[#This Row],[132kV_TX1_EX]]-ED127)*720&lt;=0,"",(RD[[#This Row],[132kV_TX1_EX]]-ED127)*720)</f>
        <v>2160</v>
      </c>
      <c r="EV128" s="140">
        <f>IF((RD[[#This Row],[132 kV_Tx1_Im]]-EE127)*720&lt;=0,0,(RD[[#This Row],[132 kV_Tx1_Im]]-EE127)*720)</f>
        <v>307440</v>
      </c>
      <c r="EW128" s="140">
        <f>IF((RD[[#This Row],[132kV_L1_Ex]]-EF127)*720&lt;=0,0,(RD[[#This Row],[132kV_L1_Ex]]-EF127)*720)</f>
        <v>427608.00000001676</v>
      </c>
      <c r="EX128" s="140">
        <f>IF((RD[[#This Row],[132kV_L1_Im]]-EG127)*720&lt;=0,0,(RD[[#This Row],[132kV_L1_Im]]-EG127)*720)</f>
        <v>3024.0000000001965</v>
      </c>
      <c r="EY128" s="316">
        <f>IFERROR(RD[[#This Row],[33kV_OG1_Ex (MWh)]]+RD[[#This Row],[33kV_OG1_Im (MWh)]],"")</f>
        <v>431458.0560000001</v>
      </c>
      <c r="EZ128" s="142">
        <f>RD[[#This Row],[33kV_OG1_Ex (MWh)]]-RD[[#This Row],[33kV_OG1_Im (MWh)]]</f>
        <v>426343.9439999999</v>
      </c>
      <c r="FA128" s="142">
        <f>IFERROR(RD[[#This Row],[132kV_L1_Ex(MWh)]]-RD[[#This Row],[132kV_L1_Im(MWh)]],"")</f>
        <v>424584.00000001659</v>
      </c>
      <c r="FB128" s="318">
        <f>IFERROR(RD[[#This Row],[33kV_Ex(MWh)]]/RD[[#This Row],[Inv Total Gneration (MWh)]]-1,"")</f>
        <v>-3.6211304584178317E-3</v>
      </c>
      <c r="FC128" s="319">
        <f>IFERROR((RD[[#This Row],[Sunset Time (POA&lt;20 W/m2)]]-RD[[#This Row],[Sunrise Time (POA&gt;20 W/m2)]])*24,0)</f>
        <v>11.783333333333335</v>
      </c>
      <c r="FD128" s="320">
        <v>129.05000000000001</v>
      </c>
      <c r="FE128" t="s">
        <v>1328</v>
      </c>
      <c r="FG128" s="138" t="str">
        <f>IFERROR(RD[[#This Row],[E_AC (WPR)]]/RD[[#This Row],[E_DC (WPR)]],"")</f>
        <v/>
      </c>
    </row>
    <row r="129" spans="1:163">
      <c r="A129" s="130">
        <f t="shared" si="167"/>
        <v>45869</v>
      </c>
      <c r="B129" s="132">
        <f>YEAR(RD[[#This Row],[Date]])+IF(MONTH(RD[[#This Row],[Date]])&gt;=4,1,0)</f>
        <v>2026</v>
      </c>
      <c r="C129" s="132">
        <f>YEAR(RD[[#This Row],[Date]])</f>
        <v>2025</v>
      </c>
      <c r="D129" s="133">
        <f t="shared" si="171"/>
        <v>45839</v>
      </c>
      <c r="E129" s="132">
        <f>DAY(EOMONTH(RD[[#This Row],[Date]],0))</f>
        <v>31</v>
      </c>
      <c r="F129" s="321"/>
      <c r="G129" s="322"/>
      <c r="H129" s="321"/>
      <c r="I129" s="323"/>
      <c r="J129" s="321"/>
      <c r="K129" s="321"/>
      <c r="L129" s="321"/>
      <c r="M129" s="321"/>
      <c r="N129" s="321"/>
      <c r="O129" s="321"/>
      <c r="P129" s="321"/>
      <c r="Q129" s="321"/>
      <c r="R129" s="321"/>
      <c r="S129" s="323"/>
      <c r="T129" s="321"/>
      <c r="U129" s="321"/>
      <c r="V129" s="321"/>
      <c r="W129" s="321"/>
      <c r="X129" s="283"/>
      <c r="Y129" s="192"/>
      <c r="Z129" s="192"/>
      <c r="AA129" s="192"/>
      <c r="AB129" s="283"/>
      <c r="AC129" s="192"/>
      <c r="AD129" s="192"/>
      <c r="AE129" s="192"/>
      <c r="AF129" s="283"/>
      <c r="AG129" s="192"/>
      <c r="AH129" s="192"/>
      <c r="AI129" s="283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  <c r="BQ129" s="136"/>
      <c r="BR129" s="136"/>
      <c r="BS129" s="136"/>
      <c r="BT129" s="136"/>
      <c r="BU129" s="136"/>
      <c r="BV129" s="192"/>
      <c r="BW129" s="192"/>
      <c r="BX129" s="192"/>
      <c r="BY129" s="192"/>
      <c r="BZ129" s="136"/>
      <c r="CA129" s="136"/>
      <c r="CB129" s="136"/>
      <c r="CC129" s="136"/>
      <c r="CD129" s="284"/>
      <c r="CE129" s="59"/>
      <c r="CF129" s="284"/>
      <c r="CG129" s="195"/>
      <c r="CH129" s="284"/>
      <c r="CI129" s="195"/>
      <c r="CJ129" s="285"/>
      <c r="CK129" s="59"/>
      <c r="CL129" s="284"/>
      <c r="CM129" s="195"/>
      <c r="CN129" s="284"/>
      <c r="CO129" s="195"/>
      <c r="CP129" s="284"/>
      <c r="CQ129" s="195"/>
      <c r="CR129" s="284"/>
      <c r="CS129" s="59"/>
      <c r="CT129" s="284"/>
      <c r="CU129" s="195"/>
      <c r="CV129" s="284"/>
      <c r="CW129" s="247"/>
      <c r="CX129" s="193" t="str">
        <f>IFERROR(AVERAGEIF(RD[[#This Row],[IS1POA1 (KWh/m2)]:[IS7POA2 (KWh/m2)]],"&lt;&gt;0",RD[[#This Row],[IS1POA1 (KWh/m2)]:[IS7POA2 (KWh/m2)]]),"")</f>
        <v/>
      </c>
      <c r="CY129" s="193" t="str">
        <f>IFERROR(AVERAGEIF(RD[[#This Row],[IS1GHI1 (KWh/m2)]:[IS7GHI2 (KWh/m2)]],"&lt;&gt;0",RD[[#This Row],[IS1GHI1 (KWh/m2)]:[IS7GHI2 (KWh/m2)]]),"")</f>
        <v/>
      </c>
      <c r="CZ129" s="193" t="str">
        <f>IFERROR(AVERAGEIF(RD[[#This Row],[IS1POA_BS1 (KWh/m2)]:[IS7POA_BS2 (KWh/m2)]],"&lt;&gt;0",RD[[#This Row],[IS1POA_BS1 (KWh/m2)]:[IS7POA_BS2 (KWh/m2)]]),"")</f>
        <v/>
      </c>
      <c r="DA129" s="193" t="str">
        <f>IFERROR(AVERAGEIF(RD[[#This Row],[IS1GHI_BS1 (KWh/m2)]:[IS1GHI_BS1 (KWh/m2)2]],"&lt;&gt;0",RD[[#This Row],[IS1GHI_BS1 (KWh/m2)]:[IS1GHI_BS1 (KWh/m2)2]]),"")</f>
        <v/>
      </c>
      <c r="DB129" s="193" t="str">
        <f>IFERROR(AVERAGEIF(RD[[#This Row],[IS1AT1 (°C)]:[IS7AT2 (°C)]],"&lt;&gt;0",RD[[#This Row],[IS1AT1 (°C)]:[IS7AT2 (°C)]]),"")</f>
        <v/>
      </c>
      <c r="DC129" s="193" t="str">
        <f>IFERROR(AVERAGEIF(RD[[#This Row],[IS1MT1 (°C)]:[IS7MT2 (°C)]],"&lt;&gt;0",RD[[#This Row],[IS1MT1 (°C)]:[IS7MT2 (°C)]]),"")</f>
        <v/>
      </c>
      <c r="DD129" s="193" t="str">
        <f>IFERROR(AVERAGEIF(RD[[#This Row],[IS1RH1 (%)]:[IS7RH2 (%)]],"&lt;&gt;0",RD[[#This Row],[IS1RH1 (%)]:[IS7RH2 (%)]]),"")</f>
        <v/>
      </c>
      <c r="DE129" s="193" t="str">
        <f>IFERROR(AVERAGEIF(RD[[#This Row],[IS1Rain1 (mm)]:[IS7Rain2 (mm)]],"&lt;&gt;0",RD[[#This Row],[IS1Rain1 (mm)]:[IS7Rain2 (mm)]]),"")</f>
        <v/>
      </c>
      <c r="DF129" s="193" t="str">
        <f>IFERROR(AVERAGEIF(RD[[#This Row],[WS_Solar1_Avg (m/s)]:[IS7_WS_Solar1_Avg (m/s)]],"&lt;&gt;0",RD[[#This Row],[WS_Solar1_Avg (m/s)]:[IS7_WS_Solar1_Avg (m/s)]]),"")</f>
        <v/>
      </c>
      <c r="DG129" s="193" t="str">
        <f>IFERROR(AVERAGEIF(RD[[#This Row],[WS_Solar1_Max (m/s)]:[IS7_WS_Solar1_Max (m/s)]],"&lt;&gt;0",RD[[#This Row],[WS_Solar1_Max (m/s)]:[IS7_WS_Solar1_Max (m/s)]]),"")</f>
        <v/>
      </c>
      <c r="DH129" s="193">
        <f>SUM(RD[[#This Row],[IS1Inv1M1]:[IS4Inv4M2]])</f>
        <v>0</v>
      </c>
      <c r="DI129" s="194">
        <f>SUM(RD[[#This Row],[IS7Inv1M1]]+RD[[#This Row],[IS7Inv2M1]])</f>
        <v>0</v>
      </c>
      <c r="DJ129" s="193">
        <f>SUM(RD[[#This Row],[IS5Inv1M1]:[IS5Inv2M2]])</f>
        <v>0</v>
      </c>
      <c r="DK129" s="193">
        <f>SUM(RD[[#This Row],[IS8Inv1M1]:[IS9Inv2M2]])</f>
        <v>0</v>
      </c>
      <c r="DL129" s="60">
        <f>SUM(RD[[#This Row],[IS6Inv1M1]:[IS6Inv2M2]])</f>
        <v>0</v>
      </c>
      <c r="DM129" s="275">
        <f>SUM(RD[[#This Row],[IS10Inv1M1]:[IS11Inv1M4]],RD[[#This Row],[IS14Inv1M1]:[IS14Inv2M4]])</f>
        <v>0</v>
      </c>
      <c r="DN129" s="275">
        <f>SUM(RD[[#This Row],[IS12Inv1M1]:[IS12Inv1M4]])</f>
        <v>0</v>
      </c>
      <c r="DO129" s="275">
        <f>SUM(RD[[#This Row],[IS13Inv1M1]:[IS13Inv2M2]])</f>
        <v>0</v>
      </c>
      <c r="DP129" s="193">
        <f>SUM(RD[[#This Row],[O2R15]:[O2R26]])</f>
        <v>0</v>
      </c>
      <c r="DQ129" s="314"/>
      <c r="DR129" s="131"/>
      <c r="DS129" s="315"/>
      <c r="DT129" s="314"/>
      <c r="DU129" s="131"/>
      <c r="DV129" s="131"/>
      <c r="DW129" s="314"/>
      <c r="DX129" s="131"/>
      <c r="DY129" s="131"/>
      <c r="DZ129" s="131"/>
      <c r="EA129" s="131"/>
      <c r="EB129" s="314"/>
      <c r="EC129" s="314"/>
      <c r="ED129" s="314"/>
      <c r="EE129" s="314"/>
      <c r="EF129" s="314"/>
      <c r="EG129" s="229"/>
      <c r="EH129" s="140">
        <f>IF((RD[[#This Row],[33 kV_F3_Ex
Incomer1]]-DQ128)*1000&lt;0,0,(RD[[#This Row],[33 kV_F3_Ex
Incomer1]]-DQ128)*1000)</f>
        <v>0</v>
      </c>
      <c r="EI129" s="316"/>
      <c r="EJ129" s="140"/>
      <c r="EK129" s="140"/>
      <c r="EL129" s="140"/>
      <c r="EM129" s="140"/>
      <c r="EN129" s="140"/>
      <c r="EO129" s="140"/>
      <c r="EP129" s="140">
        <f>IF((RD[[#This Row],[33 kV_F7_Ex
Incomer5]]-DY128)*1000&lt;0,0,(RD[[#This Row],[33 kV_F7_Ex
Incomer5]]-DY128)*1000)</f>
        <v>0</v>
      </c>
      <c r="EQ129" s="140">
        <f>IF((RD[[#This Row],[33 kV_F7_Im
Incomer5]]-DZ128)*1000&lt;0,0,(RD[[#This Row],[33 kV_F7_Im
Incomer5]]-DZ128)*1000)</f>
        <v>0</v>
      </c>
      <c r="ER129" s="140"/>
      <c r="ES129" s="317">
        <f>IF((RD[[#This Row],[33kV_OG1_Ex_]]-EB128)*1000&lt;=0,0,(RD[[#This Row],[33kV_OG1_Ex_]]-EB128)*1000)</f>
        <v>0</v>
      </c>
      <c r="ET129" s="316">
        <f>IFERROR(IF((RD[[#This Row],[33kV_OG1_Im]]-EC128)*1000&lt;=0,0,(RD[[#This Row],[33kV_OG1_Im]]-EC128)*1000),0)</f>
        <v>0</v>
      </c>
      <c r="EU129" s="316"/>
      <c r="EV129" s="316">
        <f>IF((RD[[#This Row],[132 kV_Tx1_Im]]-EE128)*800000&lt;=0,0,(RD[[#This Row],[132 kV_Tx1_Im]]-EE128)*800000)</f>
        <v>0</v>
      </c>
      <c r="EW129" s="316">
        <f>IF((RD[[#This Row],[132kV_L1_Ex]]-EF128)*1600000&lt;=0,0,(RD[[#This Row],[132kV_L1_Ex]]-EF128)*1600000)</f>
        <v>0</v>
      </c>
      <c r="EX129" s="316" t="str">
        <f>IF((RD[[#This Row],[132kV_L1_Im]]-EG128)*1600000&lt;=0,"",(RD[[#This Row],[132kV_L1_Im]]-EG128)*1600000)</f>
        <v/>
      </c>
      <c r="EY129" s="316">
        <f>IFERROR(RD[[#This Row],[33kV_OG1_Ex (MWh)]]+RD[[#This Row],[33kV_OG1_Im (MWh)]],"")</f>
        <v>0</v>
      </c>
      <c r="EZ129" s="142">
        <f>RD[[#This Row],[33kV_OG1_Ex (MWh)]]-RD[[#This Row],[33kV_OG1_Im (MWh)]]</f>
        <v>0</v>
      </c>
      <c r="FA129" s="142" t="str">
        <f>IFERROR(RD[[#This Row],[132kV_L1_Ex(MWh)]]-RD[[#This Row],[132kV_L1_Im(MWh)]],"")</f>
        <v/>
      </c>
      <c r="FB129" s="318" t="str">
        <f>IFERROR(RD[[#This Row],[33kV_Ex(MWh)]]/RD[[#This Row],[Inv Total Gneration (MWh)]]-1,"")</f>
        <v/>
      </c>
      <c r="FC129" s="319">
        <f>IFERROR((RD[[#This Row],[Sunset Time (POA&lt;20 W/m2)]]-RD[[#This Row],[Sunrise Time (POA&gt;20 W/m2)]])*24,0)</f>
        <v>0</v>
      </c>
      <c r="FD129" s="320"/>
      <c r="FE129"/>
      <c r="FG129" s="138" t="str">
        <f>IFERROR(RD[[#This Row],[E_AC (WPR)]]/RD[[#This Row],[E_DC (WPR)]],"")</f>
        <v/>
      </c>
    </row>
    <row r="130" spans="1:163">
      <c r="A130" s="130">
        <f t="shared" si="167"/>
        <v>45870</v>
      </c>
      <c r="B130" s="132">
        <f>YEAR(RD[[#This Row],[Date]])+IF(MONTH(RD[[#This Row],[Date]])&gt;=4,1,0)</f>
        <v>2026</v>
      </c>
      <c r="C130" s="132">
        <f>YEAR(RD[[#This Row],[Date]])</f>
        <v>2025</v>
      </c>
      <c r="D130" s="133">
        <f t="shared" si="171"/>
        <v>45870</v>
      </c>
      <c r="E130" s="132">
        <f>DAY(EOMONTH(RD[[#This Row],[Date]],0))</f>
        <v>31</v>
      </c>
      <c r="F130" s="321"/>
      <c r="G130" s="322"/>
      <c r="H130" s="321"/>
      <c r="I130" s="323"/>
      <c r="J130" s="321"/>
      <c r="K130" s="321"/>
      <c r="L130" s="321"/>
      <c r="M130" s="321"/>
      <c r="N130" s="321"/>
      <c r="O130" s="321"/>
      <c r="P130" s="321"/>
      <c r="Q130" s="321"/>
      <c r="R130" s="321"/>
      <c r="S130" s="323"/>
      <c r="T130" s="321"/>
      <c r="U130" s="321"/>
      <c r="V130" s="321"/>
      <c r="W130" s="321"/>
      <c r="X130" s="283"/>
      <c r="Y130" s="192"/>
      <c r="Z130" s="192"/>
      <c r="AA130" s="192"/>
      <c r="AB130" s="283"/>
      <c r="AC130" s="192"/>
      <c r="AD130" s="192"/>
      <c r="AE130" s="192"/>
      <c r="AF130" s="283"/>
      <c r="AG130" s="192"/>
      <c r="AH130" s="192"/>
      <c r="AI130" s="283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92"/>
      <c r="BW130" s="192"/>
      <c r="BX130" s="192"/>
      <c r="BY130" s="192"/>
      <c r="BZ130" s="136"/>
      <c r="CA130" s="136"/>
      <c r="CB130" s="136"/>
      <c r="CC130" s="136"/>
      <c r="CD130" s="284"/>
      <c r="CE130" s="59"/>
      <c r="CF130" s="284"/>
      <c r="CG130" s="195"/>
      <c r="CH130" s="284"/>
      <c r="CI130" s="195"/>
      <c r="CJ130" s="285"/>
      <c r="CK130" s="59"/>
      <c r="CL130" s="284"/>
      <c r="CM130" s="195"/>
      <c r="CN130" s="284"/>
      <c r="CO130" s="195"/>
      <c r="CP130" s="284"/>
      <c r="CQ130" s="195"/>
      <c r="CR130" s="284"/>
      <c r="CS130" s="59"/>
      <c r="CT130" s="284"/>
      <c r="CU130" s="195"/>
      <c r="CV130" s="284"/>
      <c r="CW130" s="247"/>
      <c r="CX130" s="193" t="str">
        <f>IFERROR(AVERAGEIF(RD[[#This Row],[IS1POA1 (KWh/m2)]:[IS7POA2 (KWh/m2)]],"&lt;&gt;0",RD[[#This Row],[IS1POA1 (KWh/m2)]:[IS7POA2 (KWh/m2)]]),"")</f>
        <v/>
      </c>
      <c r="CY130" s="193" t="str">
        <f>IFERROR(AVERAGEIF(RD[[#This Row],[IS1GHI1 (KWh/m2)]:[IS7GHI2 (KWh/m2)]],"&lt;&gt;0",RD[[#This Row],[IS1GHI1 (KWh/m2)]:[IS7GHI2 (KWh/m2)]]),"")</f>
        <v/>
      </c>
      <c r="CZ130" s="193" t="str">
        <f>IFERROR(AVERAGEIF(RD[[#This Row],[IS1POA_BS1 (KWh/m2)]:[IS7POA_BS2 (KWh/m2)]],"&lt;&gt;0",RD[[#This Row],[IS1POA_BS1 (KWh/m2)]:[IS7POA_BS2 (KWh/m2)]]),"")</f>
        <v/>
      </c>
      <c r="DA130" s="193" t="str">
        <f>IFERROR(AVERAGEIF(RD[[#This Row],[IS1GHI_BS1 (KWh/m2)]:[IS1GHI_BS1 (KWh/m2)2]],"&lt;&gt;0",RD[[#This Row],[IS1GHI_BS1 (KWh/m2)]:[IS1GHI_BS1 (KWh/m2)2]]),"")</f>
        <v/>
      </c>
      <c r="DB130" s="193" t="str">
        <f>IFERROR(AVERAGEIF(RD[[#This Row],[IS1AT1 (°C)]:[IS7AT2 (°C)]],"&lt;&gt;0",RD[[#This Row],[IS1AT1 (°C)]:[IS7AT2 (°C)]]),"")</f>
        <v/>
      </c>
      <c r="DC130" s="193" t="str">
        <f>IFERROR(AVERAGEIF(RD[[#This Row],[IS1MT1 (°C)]:[IS7MT2 (°C)]],"&lt;&gt;0",RD[[#This Row],[IS1MT1 (°C)]:[IS7MT2 (°C)]]),"")</f>
        <v/>
      </c>
      <c r="DD130" s="193" t="str">
        <f>IFERROR(AVERAGEIF(RD[[#This Row],[IS1RH1 (%)]:[IS7RH2 (%)]],"&lt;&gt;0",RD[[#This Row],[IS1RH1 (%)]:[IS7RH2 (%)]]),"")</f>
        <v/>
      </c>
      <c r="DE130" s="193" t="str">
        <f>IFERROR(AVERAGEIF(RD[[#This Row],[IS1Rain1 (mm)]:[IS7Rain2 (mm)]],"&lt;&gt;0",RD[[#This Row],[IS1Rain1 (mm)]:[IS7Rain2 (mm)]]),"")</f>
        <v/>
      </c>
      <c r="DF130" s="193" t="str">
        <f>IFERROR(AVERAGEIF(RD[[#This Row],[WS_Solar1_Avg (m/s)]:[IS7_WS_Solar1_Avg (m/s)]],"&lt;&gt;0",RD[[#This Row],[WS_Solar1_Avg (m/s)]:[IS7_WS_Solar1_Avg (m/s)]]),"")</f>
        <v/>
      </c>
      <c r="DG130" s="193" t="str">
        <f>IFERROR(AVERAGEIF(RD[[#This Row],[WS_Solar1_Max (m/s)]:[IS7_WS_Solar1_Max (m/s)]],"&lt;&gt;0",RD[[#This Row],[WS_Solar1_Max (m/s)]:[IS7_WS_Solar1_Max (m/s)]]),"")</f>
        <v/>
      </c>
      <c r="DH130" s="193">
        <f>SUM(RD[[#This Row],[IS1Inv1M1]:[IS4Inv4M2]])</f>
        <v>0</v>
      </c>
      <c r="DI130" s="194">
        <f>SUM(RD[[#This Row],[IS7Inv1M1]]+RD[[#This Row],[IS7Inv2M1]])</f>
        <v>0</v>
      </c>
      <c r="DJ130" s="193">
        <f>SUM(RD[[#This Row],[IS5Inv1M1]:[IS5Inv2M2]])</f>
        <v>0</v>
      </c>
      <c r="DK130" s="193">
        <f>SUM(RD[[#This Row],[IS8Inv1M1]:[IS9Inv2M2]])</f>
        <v>0</v>
      </c>
      <c r="DL130" s="60">
        <f>SUM(RD[[#This Row],[IS6Inv1M1]:[IS6Inv2M2]])</f>
        <v>0</v>
      </c>
      <c r="DM130" s="275">
        <f>SUM(RD[[#This Row],[IS10Inv1M1]:[IS11Inv1M4]],RD[[#This Row],[IS14Inv1M1]:[IS14Inv2M4]])</f>
        <v>0</v>
      </c>
      <c r="DN130" s="275">
        <f>SUM(RD[[#This Row],[IS12Inv1M1]:[IS12Inv1M4]])</f>
        <v>0</v>
      </c>
      <c r="DO130" s="275">
        <f>SUM(RD[[#This Row],[IS13Inv1M1]:[IS13Inv2M2]])</f>
        <v>0</v>
      </c>
      <c r="DP130" s="193">
        <f>SUM(RD[[#This Row],[O2R15]:[O2R26]])</f>
        <v>0</v>
      </c>
      <c r="DQ130" s="314"/>
      <c r="DR130" s="131"/>
      <c r="DS130" s="315"/>
      <c r="DT130" s="314"/>
      <c r="DU130" s="131"/>
      <c r="DV130" s="131"/>
      <c r="DW130" s="314"/>
      <c r="DX130" s="131"/>
      <c r="DY130" s="131"/>
      <c r="DZ130" s="131"/>
      <c r="EA130" s="131"/>
      <c r="EB130" s="314"/>
      <c r="EC130" s="314"/>
      <c r="ED130" s="314"/>
      <c r="EE130" s="314"/>
      <c r="EF130" s="314"/>
      <c r="EG130" s="229"/>
      <c r="EH130" s="140">
        <f>IF((RD[[#This Row],[33 kV_F3_Ex
Incomer1]]-DQ129)*1000&lt;0,0,(RD[[#This Row],[33 kV_F3_Ex
Incomer1]]-DQ129)*1000)</f>
        <v>0</v>
      </c>
      <c r="EI130" s="316"/>
      <c r="EJ130" s="140"/>
      <c r="EK130" s="140"/>
      <c r="EL130" s="140"/>
      <c r="EM130" s="140"/>
      <c r="EN130" s="140"/>
      <c r="EO130" s="140"/>
      <c r="EP130" s="140">
        <f>IF((RD[[#This Row],[33 kV_F7_Ex
Incomer5]]-DY129)*1000&lt;0,0,(RD[[#This Row],[33 kV_F7_Ex
Incomer5]]-DY129)*1000)</f>
        <v>0</v>
      </c>
      <c r="EQ130" s="140">
        <f>IF((RD[[#This Row],[33 kV_F7_Im
Incomer5]]-DZ129)*1000&lt;0,0,(RD[[#This Row],[33 kV_F7_Im
Incomer5]]-DZ129)*1000)</f>
        <v>0</v>
      </c>
      <c r="ER130" s="140"/>
      <c r="ES130" s="317">
        <f>IF((RD[[#This Row],[33kV_OG1_Ex_]]-EB129)*1000&lt;=0,0,(RD[[#This Row],[33kV_OG1_Ex_]]-EB129)*1000)</f>
        <v>0</v>
      </c>
      <c r="ET130" s="316">
        <f>IFERROR(IF((RD[[#This Row],[33kV_OG1_Im]]-EC129)*1000&lt;=0,0,(RD[[#This Row],[33kV_OG1_Im]]-EC129)*1000),0)</f>
        <v>0</v>
      </c>
      <c r="EU130" s="316"/>
      <c r="EV130" s="316">
        <f>IF((RD[[#This Row],[132 kV_Tx1_Im]]-EE129)*800000&lt;=0,0,(RD[[#This Row],[132 kV_Tx1_Im]]-EE129)*800000)</f>
        <v>0</v>
      </c>
      <c r="EW130" s="316">
        <f>IF((RD[[#This Row],[132kV_L1_Ex]]-EF129)*1600000&lt;=0,0,(RD[[#This Row],[132kV_L1_Ex]]-EF129)*1600000)</f>
        <v>0</v>
      </c>
      <c r="EX130" s="316" t="str">
        <f>IF((RD[[#This Row],[132kV_L1_Im]]-EG129)*1600000&lt;=0,"",(RD[[#This Row],[132kV_L1_Im]]-EG129)*1600000)</f>
        <v/>
      </c>
      <c r="EY130" s="316">
        <f>IFERROR(RD[[#This Row],[33kV_OG1_Ex (MWh)]]+RD[[#This Row],[33kV_OG1_Im (MWh)]],"")</f>
        <v>0</v>
      </c>
      <c r="EZ130" s="142">
        <f>RD[[#This Row],[33kV_OG1_Ex (MWh)]]-RD[[#This Row],[33kV_OG1_Im (MWh)]]</f>
        <v>0</v>
      </c>
      <c r="FA130" s="142" t="str">
        <f>IFERROR(RD[[#This Row],[132kV_L1_Ex(MWh)]]-RD[[#This Row],[132kV_L1_Im(MWh)]],"")</f>
        <v/>
      </c>
      <c r="FB130" s="318" t="str">
        <f>IFERROR(RD[[#This Row],[33kV_Ex(MWh)]]/RD[[#This Row],[Inv Total Gneration (MWh)]]-1,"")</f>
        <v/>
      </c>
      <c r="FC130" s="319">
        <f>IFERROR((RD[[#This Row],[Sunset Time (POA&lt;20 W/m2)]]-RD[[#This Row],[Sunrise Time (POA&gt;20 W/m2)]])*24,0)</f>
        <v>0</v>
      </c>
      <c r="FD130" s="320"/>
      <c r="FE130"/>
      <c r="FG130" s="138" t="str">
        <f>IFERROR(RD[[#This Row],[E_AC (WPR)]]/RD[[#This Row],[E_DC (WPR)]],"")</f>
        <v/>
      </c>
    </row>
    <row r="131" spans="1:163">
      <c r="A131" s="130">
        <f t="shared" si="167"/>
        <v>45871</v>
      </c>
      <c r="B131" s="132">
        <f>YEAR(RD[[#This Row],[Date]])+IF(MONTH(RD[[#This Row],[Date]])&gt;=4,1,0)</f>
        <v>2026</v>
      </c>
      <c r="C131" s="132">
        <f>YEAR(RD[[#This Row],[Date]])</f>
        <v>2025</v>
      </c>
      <c r="D131" s="133">
        <f t="shared" si="171"/>
        <v>45870</v>
      </c>
      <c r="E131" s="132">
        <f>DAY(EOMONTH(RD[[#This Row],[Date]],0))</f>
        <v>31</v>
      </c>
      <c r="F131" s="321"/>
      <c r="G131" s="322"/>
      <c r="H131" s="321"/>
      <c r="I131" s="323"/>
      <c r="J131" s="321"/>
      <c r="K131" s="321"/>
      <c r="L131" s="321"/>
      <c r="M131" s="321"/>
      <c r="N131" s="321"/>
      <c r="O131" s="321"/>
      <c r="P131" s="321"/>
      <c r="Q131" s="321"/>
      <c r="R131" s="321"/>
      <c r="S131" s="323"/>
      <c r="T131" s="321"/>
      <c r="U131" s="321"/>
      <c r="V131" s="321"/>
      <c r="W131" s="321"/>
      <c r="X131" s="283"/>
      <c r="Y131" s="192"/>
      <c r="Z131" s="192"/>
      <c r="AA131" s="192"/>
      <c r="AB131" s="283"/>
      <c r="AC131" s="192"/>
      <c r="AD131" s="192"/>
      <c r="AE131" s="192"/>
      <c r="AF131" s="283"/>
      <c r="AG131" s="192"/>
      <c r="AH131" s="192"/>
      <c r="AI131" s="283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  <c r="BQ131" s="136"/>
      <c r="BR131" s="136"/>
      <c r="BS131" s="136"/>
      <c r="BT131" s="136"/>
      <c r="BU131" s="136"/>
      <c r="BV131" s="192"/>
      <c r="BW131" s="192"/>
      <c r="BX131" s="192"/>
      <c r="BY131" s="192"/>
      <c r="BZ131" s="136"/>
      <c r="CA131" s="136"/>
      <c r="CB131" s="136"/>
      <c r="CC131" s="136"/>
      <c r="CD131" s="284"/>
      <c r="CE131" s="59"/>
      <c r="CF131" s="284"/>
      <c r="CG131" s="195"/>
      <c r="CH131" s="284"/>
      <c r="CI131" s="195"/>
      <c r="CJ131" s="285"/>
      <c r="CK131" s="59"/>
      <c r="CL131" s="284"/>
      <c r="CM131" s="195"/>
      <c r="CN131" s="284"/>
      <c r="CO131" s="195"/>
      <c r="CP131" s="284"/>
      <c r="CQ131" s="195"/>
      <c r="CR131" s="284"/>
      <c r="CS131" s="59"/>
      <c r="CT131" s="284"/>
      <c r="CU131" s="195"/>
      <c r="CV131" s="284"/>
      <c r="CW131" s="247"/>
      <c r="CX131" s="193" t="str">
        <f>IFERROR(AVERAGEIF(RD[[#This Row],[IS1POA1 (KWh/m2)]:[IS7POA2 (KWh/m2)]],"&lt;&gt;0",RD[[#This Row],[IS1POA1 (KWh/m2)]:[IS7POA2 (KWh/m2)]]),"")</f>
        <v/>
      </c>
      <c r="CY131" s="193" t="str">
        <f>IFERROR(AVERAGEIF(RD[[#This Row],[IS1GHI1 (KWh/m2)]:[IS7GHI2 (KWh/m2)]],"&lt;&gt;0",RD[[#This Row],[IS1GHI1 (KWh/m2)]:[IS7GHI2 (KWh/m2)]]),"")</f>
        <v/>
      </c>
      <c r="CZ131" s="193" t="str">
        <f>IFERROR(AVERAGEIF(RD[[#This Row],[IS1POA_BS1 (KWh/m2)]:[IS7POA_BS2 (KWh/m2)]],"&lt;&gt;0",RD[[#This Row],[IS1POA_BS1 (KWh/m2)]:[IS7POA_BS2 (KWh/m2)]]),"")</f>
        <v/>
      </c>
      <c r="DA131" s="193" t="str">
        <f>IFERROR(AVERAGEIF(RD[[#This Row],[IS1GHI_BS1 (KWh/m2)]:[IS1GHI_BS1 (KWh/m2)2]],"&lt;&gt;0",RD[[#This Row],[IS1GHI_BS1 (KWh/m2)]:[IS1GHI_BS1 (KWh/m2)2]]),"")</f>
        <v/>
      </c>
      <c r="DB131" s="193" t="str">
        <f>IFERROR(AVERAGEIF(RD[[#This Row],[IS1AT1 (°C)]:[IS7AT2 (°C)]],"&lt;&gt;0",RD[[#This Row],[IS1AT1 (°C)]:[IS7AT2 (°C)]]),"")</f>
        <v/>
      </c>
      <c r="DC131" s="193" t="str">
        <f>IFERROR(AVERAGEIF(RD[[#This Row],[IS1MT1 (°C)]:[IS7MT2 (°C)]],"&lt;&gt;0",RD[[#This Row],[IS1MT1 (°C)]:[IS7MT2 (°C)]]),"")</f>
        <v/>
      </c>
      <c r="DD131" s="193" t="str">
        <f>IFERROR(AVERAGEIF(RD[[#This Row],[IS1RH1 (%)]:[IS7RH2 (%)]],"&lt;&gt;0",RD[[#This Row],[IS1RH1 (%)]:[IS7RH2 (%)]]),"")</f>
        <v/>
      </c>
      <c r="DE131" s="193" t="str">
        <f>IFERROR(AVERAGEIF(RD[[#This Row],[IS1Rain1 (mm)]:[IS7Rain2 (mm)]],"&lt;&gt;0",RD[[#This Row],[IS1Rain1 (mm)]:[IS7Rain2 (mm)]]),"")</f>
        <v/>
      </c>
      <c r="DF131" s="193" t="str">
        <f>IFERROR(AVERAGEIF(RD[[#This Row],[WS_Solar1_Avg (m/s)]:[IS7_WS_Solar1_Avg (m/s)]],"&lt;&gt;0",RD[[#This Row],[WS_Solar1_Avg (m/s)]:[IS7_WS_Solar1_Avg (m/s)]]),"")</f>
        <v/>
      </c>
      <c r="DG131" s="193" t="str">
        <f>IFERROR(AVERAGEIF(RD[[#This Row],[WS_Solar1_Max (m/s)]:[IS7_WS_Solar1_Max (m/s)]],"&lt;&gt;0",RD[[#This Row],[WS_Solar1_Max (m/s)]:[IS7_WS_Solar1_Max (m/s)]]),"")</f>
        <v/>
      </c>
      <c r="DH131" s="193">
        <f>SUM(RD[[#This Row],[IS1Inv1M1]:[IS4Inv4M2]])</f>
        <v>0</v>
      </c>
      <c r="DI131" s="194">
        <f>SUM(RD[[#This Row],[IS7Inv1M1]]+RD[[#This Row],[IS7Inv2M1]])</f>
        <v>0</v>
      </c>
      <c r="DJ131" s="193">
        <f>SUM(RD[[#This Row],[IS5Inv1M1]:[IS5Inv2M2]])</f>
        <v>0</v>
      </c>
      <c r="DK131" s="193">
        <f>SUM(RD[[#This Row],[IS8Inv1M1]:[IS9Inv2M2]])</f>
        <v>0</v>
      </c>
      <c r="DL131" s="60">
        <f>SUM(RD[[#This Row],[IS6Inv1M1]:[IS6Inv2M2]])</f>
        <v>0</v>
      </c>
      <c r="DM131" s="275">
        <f>SUM(RD[[#This Row],[IS10Inv1M1]:[IS11Inv1M4]],RD[[#This Row],[IS14Inv1M1]:[IS14Inv2M4]])</f>
        <v>0</v>
      </c>
      <c r="DN131" s="275">
        <f>SUM(RD[[#This Row],[IS12Inv1M1]:[IS12Inv1M4]])</f>
        <v>0</v>
      </c>
      <c r="DO131" s="275">
        <f>SUM(RD[[#This Row],[IS13Inv1M1]:[IS13Inv2M2]])</f>
        <v>0</v>
      </c>
      <c r="DP131" s="193">
        <f>SUM(RD[[#This Row],[O2R15]:[O2R26]])</f>
        <v>0</v>
      </c>
      <c r="DQ131" s="314"/>
      <c r="DR131" s="131"/>
      <c r="DS131" s="315"/>
      <c r="DT131" s="314"/>
      <c r="DU131" s="131"/>
      <c r="DV131" s="131"/>
      <c r="DW131" s="314"/>
      <c r="DX131" s="131"/>
      <c r="DY131" s="131"/>
      <c r="DZ131" s="131"/>
      <c r="EA131" s="131"/>
      <c r="EB131" s="314"/>
      <c r="EC131" s="314"/>
      <c r="ED131" s="314"/>
      <c r="EE131" s="314"/>
      <c r="EF131" s="314"/>
      <c r="EG131" s="229"/>
      <c r="EH131" s="140">
        <f>IF((RD[[#This Row],[33 kV_F3_Ex
Incomer1]]-DQ130)*1000&lt;0,0,(RD[[#This Row],[33 kV_F3_Ex
Incomer1]]-DQ130)*1000)</f>
        <v>0</v>
      </c>
      <c r="EI131" s="316"/>
      <c r="EJ131" s="140"/>
      <c r="EK131" s="140"/>
      <c r="EL131" s="140"/>
      <c r="EM131" s="140"/>
      <c r="EN131" s="140"/>
      <c r="EO131" s="140"/>
      <c r="EP131" s="140">
        <f>IF((RD[[#This Row],[33 kV_F7_Ex
Incomer5]]-DY130)*1000&lt;0,0,(RD[[#This Row],[33 kV_F7_Ex
Incomer5]]-DY130)*1000)</f>
        <v>0</v>
      </c>
      <c r="EQ131" s="140">
        <f>IF((RD[[#This Row],[33 kV_F7_Im
Incomer5]]-DZ130)*1000&lt;0,0,(RD[[#This Row],[33 kV_F7_Im
Incomer5]]-DZ130)*1000)</f>
        <v>0</v>
      </c>
      <c r="ER131" s="140"/>
      <c r="ES131" s="317">
        <f>IF((RD[[#This Row],[33kV_OG1_Ex_]]-EB130)*1000&lt;=0,0,(RD[[#This Row],[33kV_OG1_Ex_]]-EB130)*1000)</f>
        <v>0</v>
      </c>
      <c r="ET131" s="316">
        <f>IFERROR(IF((RD[[#This Row],[33kV_OG1_Im]]-EC130)*1000&lt;=0,0,(RD[[#This Row],[33kV_OG1_Im]]-EC130)*1000),0)</f>
        <v>0</v>
      </c>
      <c r="EU131" s="316"/>
      <c r="EV131" s="316">
        <f>IF((RD[[#This Row],[132 kV_Tx1_Im]]-EE130)*800000&lt;=0,0,(RD[[#This Row],[132 kV_Tx1_Im]]-EE130)*800000)</f>
        <v>0</v>
      </c>
      <c r="EW131" s="316">
        <f>IF((RD[[#This Row],[132kV_L1_Ex]]-EF130)*1600000&lt;=0,0,(RD[[#This Row],[132kV_L1_Ex]]-EF130)*1600000)</f>
        <v>0</v>
      </c>
      <c r="EX131" s="316" t="str">
        <f>IF((RD[[#This Row],[132kV_L1_Im]]-EG130)*1600000&lt;=0,"",(RD[[#This Row],[132kV_L1_Im]]-EG130)*1600000)</f>
        <v/>
      </c>
      <c r="EY131" s="316">
        <f>IFERROR(RD[[#This Row],[33kV_OG1_Ex (MWh)]]+RD[[#This Row],[33kV_OG1_Im (MWh)]],"")</f>
        <v>0</v>
      </c>
      <c r="EZ131" s="142">
        <f>RD[[#This Row],[33kV_OG1_Ex (MWh)]]-RD[[#This Row],[33kV_OG1_Im (MWh)]]</f>
        <v>0</v>
      </c>
      <c r="FA131" s="142" t="str">
        <f>IFERROR(RD[[#This Row],[132kV_L1_Ex(MWh)]]-RD[[#This Row],[132kV_L1_Im(MWh)]],"")</f>
        <v/>
      </c>
      <c r="FB131" s="318" t="str">
        <f>IFERROR(RD[[#This Row],[33kV_Ex(MWh)]]/RD[[#This Row],[Inv Total Gneration (MWh)]]-1,"")</f>
        <v/>
      </c>
      <c r="FC131" s="319">
        <f>IFERROR((RD[[#This Row],[Sunset Time (POA&lt;20 W/m2)]]-RD[[#This Row],[Sunrise Time (POA&gt;20 W/m2)]])*24,0)</f>
        <v>0</v>
      </c>
      <c r="FD131" s="320"/>
      <c r="FE131"/>
      <c r="FG131" s="138" t="str">
        <f>IFERROR(RD[[#This Row],[E_AC (WPR)]]/RD[[#This Row],[E_DC (WPR)]],"")</f>
        <v/>
      </c>
    </row>
    <row r="132" spans="1:163">
      <c r="A132" s="130">
        <f t="shared" si="167"/>
        <v>45872</v>
      </c>
      <c r="B132" s="132">
        <f>YEAR(RD[[#This Row],[Date]])+IF(MONTH(RD[[#This Row],[Date]])&gt;=4,1,0)</f>
        <v>2026</v>
      </c>
      <c r="C132" s="132">
        <f>YEAR(RD[[#This Row],[Date]])</f>
        <v>2025</v>
      </c>
      <c r="D132" s="133">
        <f t="shared" si="171"/>
        <v>45870</v>
      </c>
      <c r="E132" s="132">
        <f>DAY(EOMONTH(RD[[#This Row],[Date]],0))</f>
        <v>31</v>
      </c>
      <c r="F132" s="321"/>
      <c r="G132" s="322"/>
      <c r="H132" s="321"/>
      <c r="I132" s="323"/>
      <c r="J132" s="321"/>
      <c r="K132" s="321"/>
      <c r="L132" s="321"/>
      <c r="M132" s="321"/>
      <c r="N132" s="321"/>
      <c r="O132" s="321"/>
      <c r="P132" s="321"/>
      <c r="Q132" s="321"/>
      <c r="R132" s="321"/>
      <c r="S132" s="323"/>
      <c r="T132" s="321"/>
      <c r="U132" s="321"/>
      <c r="V132" s="321"/>
      <c r="W132" s="321"/>
      <c r="X132" s="283"/>
      <c r="Y132" s="192"/>
      <c r="Z132" s="192"/>
      <c r="AA132" s="192"/>
      <c r="AB132" s="283"/>
      <c r="AC132" s="192"/>
      <c r="AD132" s="192"/>
      <c r="AE132" s="192"/>
      <c r="AF132" s="283"/>
      <c r="AG132" s="192"/>
      <c r="AH132" s="192"/>
      <c r="AI132" s="283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92"/>
      <c r="BW132" s="192"/>
      <c r="BX132" s="192"/>
      <c r="BY132" s="192"/>
      <c r="BZ132" s="136"/>
      <c r="CA132" s="136"/>
      <c r="CB132" s="136"/>
      <c r="CC132" s="136"/>
      <c r="CD132" s="284"/>
      <c r="CE132" s="59"/>
      <c r="CF132" s="284"/>
      <c r="CG132" s="195"/>
      <c r="CH132" s="284"/>
      <c r="CI132" s="195"/>
      <c r="CJ132" s="285"/>
      <c r="CK132" s="59"/>
      <c r="CL132" s="284"/>
      <c r="CM132" s="195"/>
      <c r="CN132" s="284"/>
      <c r="CO132" s="195"/>
      <c r="CP132" s="284"/>
      <c r="CQ132" s="195"/>
      <c r="CR132" s="284"/>
      <c r="CS132" s="59"/>
      <c r="CT132" s="284"/>
      <c r="CU132" s="195"/>
      <c r="CV132" s="284"/>
      <c r="CW132" s="247"/>
      <c r="CX132" s="193" t="str">
        <f>IFERROR(AVERAGEIF(RD[[#This Row],[IS1POA1 (KWh/m2)]:[IS7POA2 (KWh/m2)]],"&lt;&gt;0",RD[[#This Row],[IS1POA1 (KWh/m2)]:[IS7POA2 (KWh/m2)]]),"")</f>
        <v/>
      </c>
      <c r="CY132" s="193" t="str">
        <f>IFERROR(AVERAGEIF(RD[[#This Row],[IS1GHI1 (KWh/m2)]:[IS7GHI2 (KWh/m2)]],"&lt;&gt;0",RD[[#This Row],[IS1GHI1 (KWh/m2)]:[IS7GHI2 (KWh/m2)]]),"")</f>
        <v/>
      </c>
      <c r="CZ132" s="193" t="str">
        <f>IFERROR(AVERAGEIF(RD[[#This Row],[IS1POA_BS1 (KWh/m2)]:[IS7POA_BS2 (KWh/m2)]],"&lt;&gt;0",RD[[#This Row],[IS1POA_BS1 (KWh/m2)]:[IS7POA_BS2 (KWh/m2)]]),"")</f>
        <v/>
      </c>
      <c r="DA132" s="193" t="str">
        <f>IFERROR(AVERAGEIF(RD[[#This Row],[IS1GHI_BS1 (KWh/m2)]:[IS1GHI_BS1 (KWh/m2)2]],"&lt;&gt;0",RD[[#This Row],[IS1GHI_BS1 (KWh/m2)]:[IS1GHI_BS1 (KWh/m2)2]]),"")</f>
        <v/>
      </c>
      <c r="DB132" s="193" t="str">
        <f>IFERROR(AVERAGEIF(RD[[#This Row],[IS1AT1 (°C)]:[IS7AT2 (°C)]],"&lt;&gt;0",RD[[#This Row],[IS1AT1 (°C)]:[IS7AT2 (°C)]]),"")</f>
        <v/>
      </c>
      <c r="DC132" s="193" t="str">
        <f>IFERROR(AVERAGEIF(RD[[#This Row],[IS1MT1 (°C)]:[IS7MT2 (°C)]],"&lt;&gt;0",RD[[#This Row],[IS1MT1 (°C)]:[IS7MT2 (°C)]]),"")</f>
        <v/>
      </c>
      <c r="DD132" s="193" t="str">
        <f>IFERROR(AVERAGEIF(RD[[#This Row],[IS1RH1 (%)]:[IS7RH2 (%)]],"&lt;&gt;0",RD[[#This Row],[IS1RH1 (%)]:[IS7RH2 (%)]]),"")</f>
        <v/>
      </c>
      <c r="DE132" s="193" t="str">
        <f>IFERROR(AVERAGEIF(RD[[#This Row],[IS1Rain1 (mm)]:[IS7Rain2 (mm)]],"&lt;&gt;0",RD[[#This Row],[IS1Rain1 (mm)]:[IS7Rain2 (mm)]]),"")</f>
        <v/>
      </c>
      <c r="DF132" s="193" t="str">
        <f>IFERROR(AVERAGEIF(RD[[#This Row],[WS_Solar1_Avg (m/s)]:[IS7_WS_Solar1_Avg (m/s)]],"&lt;&gt;0",RD[[#This Row],[WS_Solar1_Avg (m/s)]:[IS7_WS_Solar1_Avg (m/s)]]),"")</f>
        <v/>
      </c>
      <c r="DG132" s="193" t="str">
        <f>IFERROR(AVERAGEIF(RD[[#This Row],[WS_Solar1_Max (m/s)]:[IS7_WS_Solar1_Max (m/s)]],"&lt;&gt;0",RD[[#This Row],[WS_Solar1_Max (m/s)]:[IS7_WS_Solar1_Max (m/s)]]),"")</f>
        <v/>
      </c>
      <c r="DH132" s="193">
        <f>SUM(RD[[#This Row],[IS1Inv1M1]:[IS4Inv4M2]])</f>
        <v>0</v>
      </c>
      <c r="DI132" s="194">
        <f>SUM(RD[[#This Row],[IS7Inv1M1]]+RD[[#This Row],[IS7Inv2M1]])</f>
        <v>0</v>
      </c>
      <c r="DJ132" s="193">
        <f>SUM(RD[[#This Row],[IS5Inv1M1]:[IS5Inv2M2]])</f>
        <v>0</v>
      </c>
      <c r="DK132" s="193">
        <f>SUM(RD[[#This Row],[IS8Inv1M1]:[IS9Inv2M2]])</f>
        <v>0</v>
      </c>
      <c r="DL132" s="60">
        <f>SUM(RD[[#This Row],[IS6Inv1M1]:[IS6Inv2M2]])</f>
        <v>0</v>
      </c>
      <c r="DM132" s="275">
        <f>SUM(RD[[#This Row],[IS10Inv1M1]:[IS11Inv1M4]],RD[[#This Row],[IS14Inv1M1]:[IS14Inv2M4]])</f>
        <v>0</v>
      </c>
      <c r="DN132" s="275">
        <f>SUM(RD[[#This Row],[IS12Inv1M1]:[IS12Inv1M4]])</f>
        <v>0</v>
      </c>
      <c r="DO132" s="275">
        <f>SUM(RD[[#This Row],[IS13Inv1M1]:[IS13Inv2M2]])</f>
        <v>0</v>
      </c>
      <c r="DP132" s="193">
        <f>SUM(RD[[#This Row],[O2R15]:[O2R26]])</f>
        <v>0</v>
      </c>
      <c r="DQ132" s="314"/>
      <c r="DR132" s="131"/>
      <c r="DS132" s="315"/>
      <c r="DT132" s="314"/>
      <c r="DU132" s="131"/>
      <c r="DV132" s="131"/>
      <c r="DW132" s="314"/>
      <c r="DX132" s="131"/>
      <c r="DY132" s="131"/>
      <c r="DZ132" s="131"/>
      <c r="EA132" s="131"/>
      <c r="EB132" s="314"/>
      <c r="EC132" s="314"/>
      <c r="ED132" s="314"/>
      <c r="EE132" s="314"/>
      <c r="EF132" s="314"/>
      <c r="EG132" s="229"/>
      <c r="EH132" s="140">
        <f>IF((RD[[#This Row],[33 kV_F3_Ex
Incomer1]]-DQ131)*1000&lt;0,0,(RD[[#This Row],[33 kV_F3_Ex
Incomer1]]-DQ131)*1000)</f>
        <v>0</v>
      </c>
      <c r="EI132" s="316"/>
      <c r="EJ132" s="140"/>
      <c r="EK132" s="140"/>
      <c r="EL132" s="140"/>
      <c r="EM132" s="140"/>
      <c r="EN132" s="140"/>
      <c r="EO132" s="140"/>
      <c r="EP132" s="140">
        <f>IF((RD[[#This Row],[33 kV_F7_Ex
Incomer5]]-DY131)*1000&lt;0,0,(RD[[#This Row],[33 kV_F7_Ex
Incomer5]]-DY131)*1000)</f>
        <v>0</v>
      </c>
      <c r="EQ132" s="140">
        <f>IF((RD[[#This Row],[33 kV_F7_Im
Incomer5]]-DZ131)*1000&lt;0,0,(RD[[#This Row],[33 kV_F7_Im
Incomer5]]-DZ131)*1000)</f>
        <v>0</v>
      </c>
      <c r="ER132" s="140"/>
      <c r="ES132" s="317">
        <f>IF((RD[[#This Row],[33kV_OG1_Ex_]]-EB131)*1000&lt;=0,0,(RD[[#This Row],[33kV_OG1_Ex_]]-EB131)*1000)</f>
        <v>0</v>
      </c>
      <c r="ET132" s="316">
        <f>IFERROR(IF((RD[[#This Row],[33kV_OG1_Im]]-EC131)*1000&lt;=0,0,(RD[[#This Row],[33kV_OG1_Im]]-EC131)*1000),0)</f>
        <v>0</v>
      </c>
      <c r="EU132" s="316">
        <f>(RD[[#This Row],[132kV_TX1_EX]]-EE129)</f>
        <v>0</v>
      </c>
      <c r="EV132" s="316">
        <f>IF((RD[[#This Row],[132 kV_Tx1_Im]]-EE131)*800000&lt;=0,0,(RD[[#This Row],[132 kV_Tx1_Im]]-EE131)*800000)</f>
        <v>0</v>
      </c>
      <c r="EW132" s="316">
        <f>IF((RD[[#This Row],[132kV_L1_Ex]]-EF131)*1600000&lt;=0,0,(RD[[#This Row],[132kV_L1_Ex]]-EF131)*1600000)</f>
        <v>0</v>
      </c>
      <c r="EX132" s="316" t="str">
        <f>IF((RD[[#This Row],[132kV_L1_Im]]-EG131)*1600000&lt;=0,"",(RD[[#This Row],[132kV_L1_Im]]-EG131)*1600000)</f>
        <v/>
      </c>
      <c r="EY132" s="316">
        <f>IFERROR(RD[[#This Row],[33kV_OG1_Ex (MWh)]]+RD[[#This Row],[33kV_OG1_Im (MWh)]],"")</f>
        <v>0</v>
      </c>
      <c r="EZ132" s="142">
        <f>RD[[#This Row],[33kV_OG1_Ex (MWh)]]-RD[[#This Row],[33kV_OG1_Im (MWh)]]</f>
        <v>0</v>
      </c>
      <c r="FA132" s="142" t="str">
        <f>IFERROR(RD[[#This Row],[132kV_L1_Ex(MWh)]]-RD[[#This Row],[132kV_L1_Im(MWh)]],"")</f>
        <v/>
      </c>
      <c r="FB132" s="318" t="str">
        <f>IFERROR(RD[[#This Row],[33kV_Ex(MWh)]]/RD[[#This Row],[Inv Total Gneration (MWh)]]-1,"")</f>
        <v/>
      </c>
      <c r="FC132" s="319">
        <f>IFERROR((RD[[#This Row],[Sunset Time (POA&lt;20 W/m2)]]-RD[[#This Row],[Sunrise Time (POA&gt;20 W/m2)]])*24,0)</f>
        <v>0</v>
      </c>
      <c r="FD132" s="320"/>
      <c r="FE132"/>
      <c r="FG132" s="138" t="str">
        <f>IFERROR(RD[[#This Row],[E_AC (WPR)]]/RD[[#This Row],[E_DC (WPR)]],"")</f>
        <v/>
      </c>
    </row>
    <row r="133" spans="1:163">
      <c r="A133" s="130">
        <f t="shared" si="167"/>
        <v>45873</v>
      </c>
      <c r="B133" s="132">
        <f>YEAR(RD[[#This Row],[Date]])+IF(MONTH(RD[[#This Row],[Date]])&gt;=4,1,0)</f>
        <v>2026</v>
      </c>
      <c r="C133" s="132">
        <f>YEAR(RD[[#This Row],[Date]])</f>
        <v>2025</v>
      </c>
      <c r="D133" s="133">
        <f t="shared" si="171"/>
        <v>45870</v>
      </c>
      <c r="E133" s="132">
        <f>DAY(EOMONTH(RD[[#This Row],[Date]],0))</f>
        <v>31</v>
      </c>
      <c r="F133" s="321"/>
      <c r="G133" s="322"/>
      <c r="H133" s="321"/>
      <c r="I133" s="323"/>
      <c r="J133" s="321"/>
      <c r="K133" s="321"/>
      <c r="L133" s="321"/>
      <c r="M133" s="321"/>
      <c r="N133" s="321"/>
      <c r="O133" s="321"/>
      <c r="P133" s="321"/>
      <c r="Q133" s="321"/>
      <c r="R133" s="321"/>
      <c r="S133" s="323"/>
      <c r="T133" s="321"/>
      <c r="U133" s="321"/>
      <c r="V133" s="321"/>
      <c r="W133" s="321"/>
      <c r="X133" s="283"/>
      <c r="Y133" s="192"/>
      <c r="Z133" s="192"/>
      <c r="AA133" s="192"/>
      <c r="AB133" s="283"/>
      <c r="AC133" s="192"/>
      <c r="AD133" s="192"/>
      <c r="AE133" s="192"/>
      <c r="AF133" s="283"/>
      <c r="AG133" s="192"/>
      <c r="AH133" s="192"/>
      <c r="AI133" s="283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92"/>
      <c r="BW133" s="192"/>
      <c r="BX133" s="192"/>
      <c r="BY133" s="192"/>
      <c r="BZ133" s="136"/>
      <c r="CA133" s="136"/>
      <c r="CB133" s="136"/>
      <c r="CC133" s="136"/>
      <c r="CD133" s="284"/>
      <c r="CE133" s="59"/>
      <c r="CF133" s="284"/>
      <c r="CG133" s="195"/>
      <c r="CH133" s="284"/>
      <c r="CI133" s="195"/>
      <c r="CJ133" s="285"/>
      <c r="CK133" s="59"/>
      <c r="CL133" s="284"/>
      <c r="CM133" s="195"/>
      <c r="CN133" s="284"/>
      <c r="CO133" s="195"/>
      <c r="CP133" s="284"/>
      <c r="CQ133" s="195"/>
      <c r="CR133" s="284"/>
      <c r="CS133" s="59"/>
      <c r="CT133" s="284"/>
      <c r="CU133" s="195"/>
      <c r="CV133" s="284"/>
      <c r="CW133" s="247"/>
      <c r="CX133" s="193" t="str">
        <f>IFERROR(AVERAGEIF(RD[[#This Row],[IS1POA1 (KWh/m2)]:[IS7POA2 (KWh/m2)]],"&lt;&gt;0",RD[[#This Row],[IS1POA1 (KWh/m2)]:[IS7POA2 (KWh/m2)]]),"")</f>
        <v/>
      </c>
      <c r="CY133" s="193" t="str">
        <f>IFERROR(AVERAGEIF(RD[[#This Row],[IS1GHI1 (KWh/m2)]:[IS7GHI2 (KWh/m2)]],"&lt;&gt;0",RD[[#This Row],[IS1GHI1 (KWh/m2)]:[IS7GHI2 (KWh/m2)]]),"")</f>
        <v/>
      </c>
      <c r="CZ133" s="193" t="str">
        <f>IFERROR(AVERAGEIF(RD[[#This Row],[IS1POA_BS1 (KWh/m2)]:[IS7POA_BS2 (KWh/m2)]],"&lt;&gt;0",RD[[#This Row],[IS1POA_BS1 (KWh/m2)]:[IS7POA_BS2 (KWh/m2)]]),"")</f>
        <v/>
      </c>
      <c r="DA133" s="193" t="str">
        <f>IFERROR(AVERAGEIF(RD[[#This Row],[IS1GHI_BS1 (KWh/m2)]:[IS1GHI_BS1 (KWh/m2)2]],"&lt;&gt;0",RD[[#This Row],[IS1GHI_BS1 (KWh/m2)]:[IS1GHI_BS1 (KWh/m2)2]]),"")</f>
        <v/>
      </c>
      <c r="DB133" s="193" t="str">
        <f>IFERROR(AVERAGEIF(RD[[#This Row],[IS1AT1 (°C)]:[IS7AT2 (°C)]],"&lt;&gt;0",RD[[#This Row],[IS1AT1 (°C)]:[IS7AT2 (°C)]]),"")</f>
        <v/>
      </c>
      <c r="DC133" s="193" t="str">
        <f>IFERROR(AVERAGEIF(RD[[#This Row],[IS1MT1 (°C)]:[IS7MT2 (°C)]],"&lt;&gt;0",RD[[#This Row],[IS1MT1 (°C)]:[IS7MT2 (°C)]]),"")</f>
        <v/>
      </c>
      <c r="DD133" s="193" t="str">
        <f>IFERROR(AVERAGEIF(RD[[#This Row],[IS1RH1 (%)]:[IS7RH2 (%)]],"&lt;&gt;0",RD[[#This Row],[IS1RH1 (%)]:[IS7RH2 (%)]]),"")</f>
        <v/>
      </c>
      <c r="DE133" s="193" t="str">
        <f>IFERROR(AVERAGEIF(RD[[#This Row],[IS1Rain1 (mm)]:[IS7Rain2 (mm)]],"&lt;&gt;0",RD[[#This Row],[IS1Rain1 (mm)]:[IS7Rain2 (mm)]]),"")</f>
        <v/>
      </c>
      <c r="DF133" s="193" t="str">
        <f>IFERROR(AVERAGEIF(RD[[#This Row],[WS_Solar1_Avg (m/s)]:[IS7_WS_Solar1_Avg (m/s)]],"&lt;&gt;0",RD[[#This Row],[WS_Solar1_Avg (m/s)]:[IS7_WS_Solar1_Avg (m/s)]]),"")</f>
        <v/>
      </c>
      <c r="DG133" s="193" t="str">
        <f>IFERROR(AVERAGEIF(RD[[#This Row],[WS_Solar1_Max (m/s)]:[IS7_WS_Solar1_Max (m/s)]],"&lt;&gt;0",RD[[#This Row],[WS_Solar1_Max (m/s)]:[IS7_WS_Solar1_Max (m/s)]]),"")</f>
        <v/>
      </c>
      <c r="DH133" s="193">
        <f>SUM(RD[[#This Row],[IS1Inv1M1]:[IS4Inv4M2]])</f>
        <v>0</v>
      </c>
      <c r="DI133" s="194">
        <f>SUM(RD[[#This Row],[IS7Inv1M1]]+RD[[#This Row],[IS7Inv2M1]])</f>
        <v>0</v>
      </c>
      <c r="DJ133" s="193">
        <f>SUM(RD[[#This Row],[IS5Inv1M1]:[IS5Inv2M2]])</f>
        <v>0</v>
      </c>
      <c r="DK133" s="193">
        <f>SUM(RD[[#This Row],[IS8Inv1M1]:[IS9Inv2M2]])</f>
        <v>0</v>
      </c>
      <c r="DL133" s="60">
        <f>SUM(RD[[#This Row],[IS6Inv1M1]:[IS6Inv2M2]])</f>
        <v>0</v>
      </c>
      <c r="DM133" s="275">
        <f>SUM(RD[[#This Row],[IS10Inv1M1]:[IS11Inv1M4]],RD[[#This Row],[IS14Inv1M1]:[IS14Inv2M4]])</f>
        <v>0</v>
      </c>
      <c r="DN133" s="275">
        <f>SUM(RD[[#This Row],[IS12Inv1M1]:[IS12Inv1M4]])</f>
        <v>0</v>
      </c>
      <c r="DO133" s="275">
        <f>SUM(RD[[#This Row],[IS13Inv1M1]:[IS13Inv2M2]])</f>
        <v>0</v>
      </c>
      <c r="DP133" s="193">
        <f>SUM(RD[[#This Row],[O2R15]:[O2R26]])</f>
        <v>0</v>
      </c>
      <c r="DQ133" s="314"/>
      <c r="DR133" s="131"/>
      <c r="DS133" s="315"/>
      <c r="DT133" s="314"/>
      <c r="DU133" s="131"/>
      <c r="DV133" s="131"/>
      <c r="DW133" s="314"/>
      <c r="DX133" s="131"/>
      <c r="DY133" s="131"/>
      <c r="DZ133" s="131"/>
      <c r="EA133" s="131"/>
      <c r="EB133" s="314"/>
      <c r="EC133" s="314"/>
      <c r="ED133" s="314"/>
      <c r="EE133" s="314"/>
      <c r="EF133" s="314"/>
      <c r="EG133" s="229"/>
      <c r="EH133" s="140">
        <f>IF((RD[[#This Row],[33 kV_F3_Ex
Incomer1]]-DQ132)*1000&lt;0,0,(RD[[#This Row],[33 kV_F3_Ex
Incomer1]]-DQ132)*1000)</f>
        <v>0</v>
      </c>
      <c r="EI133" s="316"/>
      <c r="EJ133" s="140"/>
      <c r="EK133" s="140"/>
      <c r="EL133" s="140"/>
      <c r="EM133" s="140"/>
      <c r="EN133" s="140"/>
      <c r="EO133" s="140"/>
      <c r="EP133" s="140">
        <f>IF((RD[[#This Row],[33 kV_F7_Ex
Incomer5]]-DY132)*1000&lt;0,0,(RD[[#This Row],[33 kV_F7_Ex
Incomer5]]-DY132)*1000)</f>
        <v>0</v>
      </c>
      <c r="EQ133" s="140">
        <f>IF((RD[[#This Row],[33 kV_F7_Im
Incomer5]]-DZ132)*1000&lt;0,0,(RD[[#This Row],[33 kV_F7_Im
Incomer5]]-DZ132)*1000)</f>
        <v>0</v>
      </c>
      <c r="ER133" s="140"/>
      <c r="ES133" s="317">
        <f>IF((RD[[#This Row],[33kV_OG1_Ex_]]-EB132)*1000&lt;=0,0,(RD[[#This Row],[33kV_OG1_Ex_]]-EB132)*1000)</f>
        <v>0</v>
      </c>
      <c r="ET133" s="316">
        <f>IFERROR(IF((RD[[#This Row],[33kV_OG1_Im]]-EC132)*1000&lt;=0,0,(RD[[#This Row],[33kV_OG1_Im]]-EC132)*1000),0)</f>
        <v>0</v>
      </c>
      <c r="EU133" s="316">
        <f>(RD[[#This Row],[132kV_TX1_EX]]-EE130)</f>
        <v>0</v>
      </c>
      <c r="EV133" s="316">
        <f>IF((RD[[#This Row],[132 kV_Tx1_Im]]-EE132)*800000&lt;=0,0,(RD[[#This Row],[132 kV_Tx1_Im]]-EE132)*800000)</f>
        <v>0</v>
      </c>
      <c r="EW133" s="316">
        <f>IF((RD[[#This Row],[132kV_L1_Ex]]-EF132)*1600000&lt;=0,0,(RD[[#This Row],[132kV_L1_Ex]]-EF132)*1600000)</f>
        <v>0</v>
      </c>
      <c r="EX133" s="316" t="str">
        <f>IF((RD[[#This Row],[132kV_L1_Im]]-EG132)*1600000&lt;=0,"",(RD[[#This Row],[132kV_L1_Im]]-EG132)*1600000)</f>
        <v/>
      </c>
      <c r="EY133" s="316">
        <f>IFERROR(RD[[#This Row],[33kV_OG1_Ex (MWh)]]+RD[[#This Row],[33kV_OG1_Im (MWh)]],"")</f>
        <v>0</v>
      </c>
      <c r="EZ133" s="142">
        <f>RD[[#This Row],[33kV_OG1_Ex (MWh)]]-RD[[#This Row],[33kV_OG1_Im (MWh)]]</f>
        <v>0</v>
      </c>
      <c r="FA133" s="142" t="str">
        <f>IFERROR(RD[[#This Row],[132kV_L1_Ex(MWh)]]-RD[[#This Row],[132kV_L1_Im(MWh)]],"")</f>
        <v/>
      </c>
      <c r="FB133" s="318" t="str">
        <f>IFERROR(RD[[#This Row],[33kV_Ex(MWh)]]/RD[[#This Row],[Inv Total Gneration (MWh)]]-1,"")</f>
        <v/>
      </c>
      <c r="FC133" s="319">
        <f>IFERROR((RD[[#This Row],[Sunset Time (POA&lt;20 W/m2)]]-RD[[#This Row],[Sunrise Time (POA&gt;20 W/m2)]])*24,0)</f>
        <v>0</v>
      </c>
      <c r="FD133" s="320"/>
      <c r="FE133"/>
      <c r="FG133" s="138" t="str">
        <f>IFERROR(RD[[#This Row],[E_AC (WPR)]]/RD[[#This Row],[E_DC (WPR)]],"")</f>
        <v/>
      </c>
    </row>
    <row r="134" spans="1:163">
      <c r="A134" s="130">
        <f t="shared" si="167"/>
        <v>45874</v>
      </c>
      <c r="B134" s="132">
        <f>YEAR(RD[[#This Row],[Date]])+IF(MONTH(RD[[#This Row],[Date]])&gt;=4,1,0)</f>
        <v>2026</v>
      </c>
      <c r="C134" s="132">
        <f>YEAR(RD[[#This Row],[Date]])</f>
        <v>2025</v>
      </c>
      <c r="D134" s="133">
        <f t="shared" si="171"/>
        <v>45870</v>
      </c>
      <c r="E134" s="132">
        <f>DAY(EOMONTH(RD[[#This Row],[Date]],0))</f>
        <v>31</v>
      </c>
      <c r="F134" s="321"/>
      <c r="G134" s="322"/>
      <c r="H134" s="321"/>
      <c r="I134" s="323"/>
      <c r="J134" s="321"/>
      <c r="K134" s="321"/>
      <c r="L134" s="321"/>
      <c r="M134" s="321"/>
      <c r="N134" s="321"/>
      <c r="O134" s="321"/>
      <c r="P134" s="321"/>
      <c r="Q134" s="321"/>
      <c r="R134" s="321"/>
      <c r="S134" s="323"/>
      <c r="T134" s="321"/>
      <c r="U134" s="321"/>
      <c r="V134" s="321"/>
      <c r="W134" s="321"/>
      <c r="X134" s="283"/>
      <c r="Y134" s="192"/>
      <c r="Z134" s="192"/>
      <c r="AA134" s="192"/>
      <c r="AB134" s="283"/>
      <c r="AC134" s="192"/>
      <c r="AD134" s="192"/>
      <c r="AE134" s="192"/>
      <c r="AF134" s="283"/>
      <c r="AG134" s="192"/>
      <c r="AH134" s="192"/>
      <c r="AI134" s="283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92"/>
      <c r="BW134" s="192"/>
      <c r="BX134" s="192"/>
      <c r="BY134" s="192"/>
      <c r="BZ134" s="136"/>
      <c r="CA134" s="136"/>
      <c r="CB134" s="136"/>
      <c r="CC134" s="136"/>
      <c r="CD134" s="284"/>
      <c r="CE134" s="59"/>
      <c r="CF134" s="284"/>
      <c r="CG134" s="195"/>
      <c r="CH134" s="284"/>
      <c r="CI134" s="195"/>
      <c r="CJ134" s="285"/>
      <c r="CK134" s="59"/>
      <c r="CL134" s="284"/>
      <c r="CM134" s="195"/>
      <c r="CN134" s="284"/>
      <c r="CO134" s="195"/>
      <c r="CP134" s="284"/>
      <c r="CQ134" s="195"/>
      <c r="CR134" s="284"/>
      <c r="CS134" s="59"/>
      <c r="CT134" s="284"/>
      <c r="CU134" s="195"/>
      <c r="CV134" s="284"/>
      <c r="CW134" s="247"/>
      <c r="CX134" s="193" t="str">
        <f>IFERROR(AVERAGEIF(RD[[#This Row],[IS1POA1 (KWh/m2)]:[IS7POA2 (KWh/m2)]],"&lt;&gt;0",RD[[#This Row],[IS1POA1 (KWh/m2)]:[IS7POA2 (KWh/m2)]]),"")</f>
        <v/>
      </c>
      <c r="CY134" s="193" t="str">
        <f>IFERROR(AVERAGEIF(RD[[#This Row],[IS1GHI1 (KWh/m2)]:[IS7GHI2 (KWh/m2)]],"&lt;&gt;0",RD[[#This Row],[IS1GHI1 (KWh/m2)]:[IS7GHI2 (KWh/m2)]]),"")</f>
        <v/>
      </c>
      <c r="CZ134" s="193" t="str">
        <f>IFERROR(AVERAGEIF(RD[[#This Row],[IS1POA_BS1 (KWh/m2)]:[IS7POA_BS2 (KWh/m2)]],"&lt;&gt;0",RD[[#This Row],[IS1POA_BS1 (KWh/m2)]:[IS7POA_BS2 (KWh/m2)]]),"")</f>
        <v/>
      </c>
      <c r="DA134" s="193" t="str">
        <f>IFERROR(AVERAGEIF(RD[[#This Row],[IS1GHI_BS1 (KWh/m2)]:[IS1GHI_BS1 (KWh/m2)2]],"&lt;&gt;0",RD[[#This Row],[IS1GHI_BS1 (KWh/m2)]:[IS1GHI_BS1 (KWh/m2)2]]),"")</f>
        <v/>
      </c>
      <c r="DB134" s="193" t="str">
        <f>IFERROR(AVERAGEIF(RD[[#This Row],[IS1AT1 (°C)]:[IS7AT2 (°C)]],"&lt;&gt;0",RD[[#This Row],[IS1AT1 (°C)]:[IS7AT2 (°C)]]),"")</f>
        <v/>
      </c>
      <c r="DC134" s="193" t="str">
        <f>IFERROR(AVERAGEIF(RD[[#This Row],[IS1MT1 (°C)]:[IS7MT2 (°C)]],"&lt;&gt;0",RD[[#This Row],[IS1MT1 (°C)]:[IS7MT2 (°C)]]),"")</f>
        <v/>
      </c>
      <c r="DD134" s="193" t="str">
        <f>IFERROR(AVERAGEIF(RD[[#This Row],[IS1RH1 (%)]:[IS7RH2 (%)]],"&lt;&gt;0",RD[[#This Row],[IS1RH1 (%)]:[IS7RH2 (%)]]),"")</f>
        <v/>
      </c>
      <c r="DE134" s="193" t="str">
        <f>IFERROR(AVERAGEIF(RD[[#This Row],[IS1Rain1 (mm)]:[IS7Rain2 (mm)]],"&lt;&gt;0",RD[[#This Row],[IS1Rain1 (mm)]:[IS7Rain2 (mm)]]),"")</f>
        <v/>
      </c>
      <c r="DF134" s="193" t="str">
        <f>IFERROR(AVERAGEIF(RD[[#This Row],[WS_Solar1_Avg (m/s)]:[IS7_WS_Solar1_Avg (m/s)]],"&lt;&gt;0",RD[[#This Row],[WS_Solar1_Avg (m/s)]:[IS7_WS_Solar1_Avg (m/s)]]),"")</f>
        <v/>
      </c>
      <c r="DG134" s="193" t="str">
        <f>IFERROR(AVERAGEIF(RD[[#This Row],[WS_Solar1_Max (m/s)]:[IS7_WS_Solar1_Max (m/s)]],"&lt;&gt;0",RD[[#This Row],[WS_Solar1_Max (m/s)]:[IS7_WS_Solar1_Max (m/s)]]),"")</f>
        <v/>
      </c>
      <c r="DH134" s="193">
        <f>SUM(RD[[#This Row],[IS1Inv1M1]:[IS4Inv4M2]])</f>
        <v>0</v>
      </c>
      <c r="DI134" s="194">
        <f>SUM(RD[[#This Row],[IS7Inv1M1]]+RD[[#This Row],[IS7Inv2M1]])</f>
        <v>0</v>
      </c>
      <c r="DJ134" s="193">
        <f>SUM(RD[[#This Row],[IS5Inv1M1]:[IS5Inv2M2]])</f>
        <v>0</v>
      </c>
      <c r="DK134" s="193">
        <f>SUM(RD[[#This Row],[IS8Inv1M1]:[IS9Inv2M2]])</f>
        <v>0</v>
      </c>
      <c r="DL134" s="60">
        <f>SUM(RD[[#This Row],[IS6Inv1M1]:[IS6Inv2M2]])</f>
        <v>0</v>
      </c>
      <c r="DM134" s="275">
        <f>SUM(RD[[#This Row],[IS10Inv1M1]:[IS11Inv1M4]],RD[[#This Row],[IS14Inv1M1]:[IS14Inv2M4]])</f>
        <v>0</v>
      </c>
      <c r="DN134" s="275">
        <f>SUM(RD[[#This Row],[IS12Inv1M1]:[IS12Inv1M4]])</f>
        <v>0</v>
      </c>
      <c r="DO134" s="275">
        <f>SUM(RD[[#This Row],[IS13Inv1M1]:[IS13Inv2M2]])</f>
        <v>0</v>
      </c>
      <c r="DP134" s="193">
        <f>SUM(RD[[#This Row],[O2R15]:[O2R26]])</f>
        <v>0</v>
      </c>
      <c r="DQ134" s="314"/>
      <c r="DR134" s="131"/>
      <c r="DS134" s="315"/>
      <c r="DT134" s="314"/>
      <c r="DU134" s="131"/>
      <c r="DV134" s="131"/>
      <c r="DW134" s="314"/>
      <c r="DX134" s="131"/>
      <c r="DY134" s="131"/>
      <c r="DZ134" s="131"/>
      <c r="EA134" s="131"/>
      <c r="EB134" s="314"/>
      <c r="EC134" s="314"/>
      <c r="ED134" s="314"/>
      <c r="EE134" s="314"/>
      <c r="EF134" s="314"/>
      <c r="EG134" s="229"/>
      <c r="EH134" s="140">
        <f>IF((RD[[#This Row],[33 kV_F3_Ex
Incomer1]]-DQ133)*1000&lt;0,0,(RD[[#This Row],[33 kV_F3_Ex
Incomer1]]-DQ133)*1000)</f>
        <v>0</v>
      </c>
      <c r="EI134" s="316"/>
      <c r="EJ134" s="140"/>
      <c r="EK134" s="140"/>
      <c r="EL134" s="140"/>
      <c r="EM134" s="140"/>
      <c r="EN134" s="140"/>
      <c r="EO134" s="140"/>
      <c r="EP134" s="140">
        <f>IF((RD[[#This Row],[33 kV_F7_Ex
Incomer5]]-DY133)*1000&lt;0,0,(RD[[#This Row],[33 kV_F7_Ex
Incomer5]]-DY133)*1000)</f>
        <v>0</v>
      </c>
      <c r="EQ134" s="140">
        <f>IF((RD[[#This Row],[33 kV_F7_Im
Incomer5]]-DZ133)*1000&lt;0,0,(RD[[#This Row],[33 kV_F7_Im
Incomer5]]-DZ133)*1000)</f>
        <v>0</v>
      </c>
      <c r="ER134" s="140"/>
      <c r="ES134" s="317">
        <f>IF((RD[[#This Row],[33kV_OG1_Ex_]]-EB133)*1000&lt;=0,0,(RD[[#This Row],[33kV_OG1_Ex_]]-EB133)*1000)</f>
        <v>0</v>
      </c>
      <c r="ET134" s="316">
        <f>IFERROR(IF((RD[[#This Row],[33kV_OG1_Im]]-EC133)*1000&lt;=0,0,(RD[[#This Row],[33kV_OG1_Im]]-EC133)*1000),0)</f>
        <v>0</v>
      </c>
      <c r="EU134" s="316">
        <f>(RD[[#This Row],[132kV_TX1_EX]]-EE131)</f>
        <v>0</v>
      </c>
      <c r="EV134" s="316">
        <f>IF((RD[[#This Row],[132 kV_Tx1_Im]]-EE133)*800000&lt;=0,0,(RD[[#This Row],[132 kV_Tx1_Im]]-EE133)*800000)</f>
        <v>0</v>
      </c>
      <c r="EW134" s="316">
        <f>IF((RD[[#This Row],[132kV_L1_Ex]]-EF133)*1600000&lt;=0,0,(RD[[#This Row],[132kV_L1_Ex]]-EF133)*1600000)</f>
        <v>0</v>
      </c>
      <c r="EX134" s="316" t="str">
        <f>IF((RD[[#This Row],[132kV_L1_Im]]-EG133)*1600000&lt;=0,"",(RD[[#This Row],[132kV_L1_Im]]-EG133)*1600000)</f>
        <v/>
      </c>
      <c r="EY134" s="316">
        <f>IFERROR(RD[[#This Row],[33kV_OG1_Ex (MWh)]]+RD[[#This Row],[33kV_OG1_Im (MWh)]],"")</f>
        <v>0</v>
      </c>
      <c r="EZ134" s="142">
        <f>RD[[#This Row],[33kV_OG1_Ex (MWh)]]-RD[[#This Row],[33kV_OG1_Im (MWh)]]</f>
        <v>0</v>
      </c>
      <c r="FA134" s="142" t="str">
        <f>IFERROR(RD[[#This Row],[132kV_L1_Ex(MWh)]]-RD[[#This Row],[132kV_L1_Im(MWh)]],"")</f>
        <v/>
      </c>
      <c r="FB134" s="318" t="str">
        <f>IFERROR(RD[[#This Row],[33kV_Ex(MWh)]]/RD[[#This Row],[Inv Total Gneration (MWh)]]-1,"")</f>
        <v/>
      </c>
      <c r="FC134" s="319">
        <f>IFERROR((RD[[#This Row],[Sunset Time (POA&lt;20 W/m2)]]-RD[[#This Row],[Sunrise Time (POA&gt;20 W/m2)]])*24,0)</f>
        <v>0</v>
      </c>
      <c r="FD134" s="320"/>
      <c r="FE134"/>
      <c r="FG134" s="138" t="str">
        <f>IFERROR(RD[[#This Row],[E_AC (WPR)]]/RD[[#This Row],[E_DC (WPR)]],"")</f>
        <v/>
      </c>
    </row>
    <row r="135" spans="1:163">
      <c r="A135" s="130">
        <f t="shared" si="167"/>
        <v>45875</v>
      </c>
      <c r="B135" s="132">
        <f>YEAR(RD[[#This Row],[Date]])+IF(MONTH(RD[[#This Row],[Date]])&gt;=4,1,0)</f>
        <v>2026</v>
      </c>
      <c r="C135" s="132">
        <f>YEAR(RD[[#This Row],[Date]])</f>
        <v>2025</v>
      </c>
      <c r="D135" s="133">
        <f t="shared" si="171"/>
        <v>45870</v>
      </c>
      <c r="E135" s="132">
        <f>DAY(EOMONTH(RD[[#This Row],[Date]],0))</f>
        <v>31</v>
      </c>
      <c r="F135" s="321"/>
      <c r="G135" s="322"/>
      <c r="H135" s="321"/>
      <c r="I135" s="323"/>
      <c r="J135" s="321"/>
      <c r="K135" s="321"/>
      <c r="L135" s="321"/>
      <c r="M135" s="321"/>
      <c r="N135" s="321"/>
      <c r="O135" s="321"/>
      <c r="P135" s="321"/>
      <c r="Q135" s="321"/>
      <c r="R135" s="321"/>
      <c r="S135" s="323"/>
      <c r="T135" s="321"/>
      <c r="U135" s="321"/>
      <c r="V135" s="321"/>
      <c r="W135" s="321"/>
      <c r="X135" s="283"/>
      <c r="Y135" s="192"/>
      <c r="Z135" s="192"/>
      <c r="AA135" s="192"/>
      <c r="AB135" s="283"/>
      <c r="AC135" s="192"/>
      <c r="AD135" s="192"/>
      <c r="AE135" s="192"/>
      <c r="AF135" s="283"/>
      <c r="AG135" s="192"/>
      <c r="AH135" s="192"/>
      <c r="AI135" s="283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92"/>
      <c r="BW135" s="192"/>
      <c r="BX135" s="192"/>
      <c r="BY135" s="192"/>
      <c r="BZ135" s="136"/>
      <c r="CA135" s="136"/>
      <c r="CB135" s="136"/>
      <c r="CC135" s="136"/>
      <c r="CD135" s="284"/>
      <c r="CE135" s="59"/>
      <c r="CF135" s="284"/>
      <c r="CG135" s="195"/>
      <c r="CH135" s="284"/>
      <c r="CI135" s="195"/>
      <c r="CJ135" s="285"/>
      <c r="CK135" s="59"/>
      <c r="CL135" s="284"/>
      <c r="CM135" s="195"/>
      <c r="CN135" s="284"/>
      <c r="CO135" s="195"/>
      <c r="CP135" s="284"/>
      <c r="CQ135" s="195"/>
      <c r="CR135" s="284"/>
      <c r="CS135" s="59"/>
      <c r="CT135" s="284"/>
      <c r="CU135" s="195"/>
      <c r="CV135" s="284"/>
      <c r="CW135" s="247"/>
      <c r="CX135" s="193" t="str">
        <f>IFERROR(AVERAGEIF(RD[[#This Row],[IS1POA1 (KWh/m2)]:[IS7POA2 (KWh/m2)]],"&lt;&gt;0",RD[[#This Row],[IS1POA1 (KWh/m2)]:[IS7POA2 (KWh/m2)]]),"")</f>
        <v/>
      </c>
      <c r="CY135" s="193" t="str">
        <f>IFERROR(AVERAGEIF(RD[[#This Row],[IS1GHI1 (KWh/m2)]:[IS7GHI2 (KWh/m2)]],"&lt;&gt;0",RD[[#This Row],[IS1GHI1 (KWh/m2)]:[IS7GHI2 (KWh/m2)]]),"")</f>
        <v/>
      </c>
      <c r="CZ135" s="193" t="str">
        <f>IFERROR(AVERAGEIF(RD[[#This Row],[IS1POA_BS1 (KWh/m2)]:[IS7POA_BS2 (KWh/m2)]],"&lt;&gt;0",RD[[#This Row],[IS1POA_BS1 (KWh/m2)]:[IS7POA_BS2 (KWh/m2)]]),"")</f>
        <v/>
      </c>
      <c r="DA135" s="193" t="str">
        <f>IFERROR(AVERAGEIF(RD[[#This Row],[IS1GHI_BS1 (KWh/m2)]:[IS1GHI_BS1 (KWh/m2)2]],"&lt;&gt;0",RD[[#This Row],[IS1GHI_BS1 (KWh/m2)]:[IS1GHI_BS1 (KWh/m2)2]]),"")</f>
        <v/>
      </c>
      <c r="DB135" s="193" t="str">
        <f>IFERROR(AVERAGEIF(RD[[#This Row],[IS1AT1 (°C)]:[IS7AT2 (°C)]],"&lt;&gt;0",RD[[#This Row],[IS1AT1 (°C)]:[IS7AT2 (°C)]]),"")</f>
        <v/>
      </c>
      <c r="DC135" s="193" t="str">
        <f>IFERROR(AVERAGEIF(RD[[#This Row],[IS1MT1 (°C)]:[IS7MT2 (°C)]],"&lt;&gt;0",RD[[#This Row],[IS1MT1 (°C)]:[IS7MT2 (°C)]]),"")</f>
        <v/>
      </c>
      <c r="DD135" s="193" t="str">
        <f>IFERROR(AVERAGEIF(RD[[#This Row],[IS1RH1 (%)]:[IS7RH2 (%)]],"&lt;&gt;0",RD[[#This Row],[IS1RH1 (%)]:[IS7RH2 (%)]]),"")</f>
        <v/>
      </c>
      <c r="DE135" s="193" t="str">
        <f>IFERROR(AVERAGEIF(RD[[#This Row],[IS1Rain1 (mm)]:[IS7Rain2 (mm)]],"&lt;&gt;0",RD[[#This Row],[IS1Rain1 (mm)]:[IS7Rain2 (mm)]]),"")</f>
        <v/>
      </c>
      <c r="DF135" s="193" t="str">
        <f>IFERROR(AVERAGEIF(RD[[#This Row],[WS_Solar1_Avg (m/s)]:[IS7_WS_Solar1_Avg (m/s)]],"&lt;&gt;0",RD[[#This Row],[WS_Solar1_Avg (m/s)]:[IS7_WS_Solar1_Avg (m/s)]]),"")</f>
        <v/>
      </c>
      <c r="DG135" s="193" t="str">
        <f>IFERROR(AVERAGEIF(RD[[#This Row],[WS_Solar1_Max (m/s)]:[IS7_WS_Solar1_Max (m/s)]],"&lt;&gt;0",RD[[#This Row],[WS_Solar1_Max (m/s)]:[IS7_WS_Solar1_Max (m/s)]]),"")</f>
        <v/>
      </c>
      <c r="DH135" s="193">
        <f>SUM(RD[[#This Row],[IS1Inv1M1]:[IS4Inv4M2]])</f>
        <v>0</v>
      </c>
      <c r="DI135" s="194">
        <f>SUM(RD[[#This Row],[IS7Inv1M1]]+RD[[#This Row],[IS7Inv2M1]])</f>
        <v>0</v>
      </c>
      <c r="DJ135" s="193">
        <f>SUM(RD[[#This Row],[IS5Inv1M1]:[IS5Inv2M2]])</f>
        <v>0</v>
      </c>
      <c r="DK135" s="193">
        <f>SUM(RD[[#This Row],[IS8Inv1M1]:[IS9Inv2M2]])</f>
        <v>0</v>
      </c>
      <c r="DL135" s="60">
        <f>SUM(RD[[#This Row],[IS6Inv1M1]:[IS6Inv2M2]])</f>
        <v>0</v>
      </c>
      <c r="DM135" s="275">
        <f>SUM(RD[[#This Row],[IS10Inv1M1]:[IS11Inv1M4]],RD[[#This Row],[IS14Inv1M1]:[IS14Inv2M4]])</f>
        <v>0</v>
      </c>
      <c r="DN135" s="275">
        <f>SUM(RD[[#This Row],[IS12Inv1M1]:[IS12Inv1M4]])</f>
        <v>0</v>
      </c>
      <c r="DO135" s="275">
        <f>SUM(RD[[#This Row],[IS13Inv1M1]:[IS13Inv2M2]])</f>
        <v>0</v>
      </c>
      <c r="DP135" s="193">
        <f>SUM(RD[[#This Row],[O2R15]:[O2R26]])</f>
        <v>0</v>
      </c>
      <c r="DQ135" s="314"/>
      <c r="DR135" s="131"/>
      <c r="DS135" s="315"/>
      <c r="DT135" s="314"/>
      <c r="DU135" s="131"/>
      <c r="DV135" s="131"/>
      <c r="DW135" s="314"/>
      <c r="DX135" s="131"/>
      <c r="DY135" s="131"/>
      <c r="DZ135" s="131"/>
      <c r="EA135" s="131"/>
      <c r="EB135" s="314"/>
      <c r="EC135" s="314"/>
      <c r="ED135" s="314"/>
      <c r="EE135" s="314"/>
      <c r="EF135" s="314"/>
      <c r="EG135" s="229"/>
      <c r="EH135" s="140">
        <f>IF((RD[[#This Row],[33 kV_F3_Ex
Incomer1]]-DQ134)*1000&lt;0,0,(RD[[#This Row],[33 kV_F3_Ex
Incomer1]]-DQ134)*1000)</f>
        <v>0</v>
      </c>
      <c r="EI135" s="316"/>
      <c r="EJ135" s="140"/>
      <c r="EK135" s="140"/>
      <c r="EL135" s="140"/>
      <c r="EM135" s="140"/>
      <c r="EN135" s="140"/>
      <c r="EO135" s="140"/>
      <c r="EP135" s="140">
        <f>IF((RD[[#This Row],[33 kV_F7_Ex
Incomer5]]-DY134)*1000&lt;0,0,(RD[[#This Row],[33 kV_F7_Ex
Incomer5]]-DY134)*1000)</f>
        <v>0</v>
      </c>
      <c r="EQ135" s="140">
        <f>IF((RD[[#This Row],[33 kV_F7_Im
Incomer5]]-DZ134)*1000&lt;0,0,(RD[[#This Row],[33 kV_F7_Im
Incomer5]]-DZ134)*1000)</f>
        <v>0</v>
      </c>
      <c r="ER135" s="140"/>
      <c r="ES135" s="317">
        <f>IF((RD[[#This Row],[33kV_OG1_Ex_]]-EB134)*1000&lt;=0,0,(RD[[#This Row],[33kV_OG1_Ex_]]-EB134)*1000)</f>
        <v>0</v>
      </c>
      <c r="ET135" s="316">
        <f>IFERROR(IF((RD[[#This Row],[33kV_OG1_Im]]-EC134)*1000&lt;=0,0,(RD[[#This Row],[33kV_OG1_Im]]-EC134)*1000),0)</f>
        <v>0</v>
      </c>
      <c r="EU135" s="316">
        <f>(RD[[#This Row],[132kV_TX1_EX]]-EE132)</f>
        <v>0</v>
      </c>
      <c r="EV135" s="316">
        <f>IF((RD[[#This Row],[132 kV_Tx1_Im]]-EE134)*800000&lt;=0,0,(RD[[#This Row],[132 kV_Tx1_Im]]-EE134)*800000)</f>
        <v>0</v>
      </c>
      <c r="EW135" s="316">
        <f>IF((RD[[#This Row],[132kV_L1_Ex]]-EF134)*1600000&lt;=0,0,(RD[[#This Row],[132kV_L1_Ex]]-EF134)*1600000)</f>
        <v>0</v>
      </c>
      <c r="EX135" s="316" t="str">
        <f>IF((RD[[#This Row],[132kV_L1_Im]]-EG134)*1600000&lt;=0,"",(RD[[#This Row],[132kV_L1_Im]]-EG134)*1600000)</f>
        <v/>
      </c>
      <c r="EY135" s="316">
        <f>IFERROR(RD[[#This Row],[33kV_OG1_Ex (MWh)]]+RD[[#This Row],[33kV_OG1_Im (MWh)]],"")</f>
        <v>0</v>
      </c>
      <c r="EZ135" s="142">
        <f>RD[[#This Row],[33kV_OG1_Ex (MWh)]]-RD[[#This Row],[33kV_OG1_Im (MWh)]]</f>
        <v>0</v>
      </c>
      <c r="FA135" s="142" t="str">
        <f>IFERROR(RD[[#This Row],[132kV_L1_Ex(MWh)]]-RD[[#This Row],[132kV_L1_Im(MWh)]],"")</f>
        <v/>
      </c>
      <c r="FB135" s="318" t="str">
        <f>IFERROR(RD[[#This Row],[33kV_Ex(MWh)]]/RD[[#This Row],[Inv Total Gneration (MWh)]]-1,"")</f>
        <v/>
      </c>
      <c r="FC135" s="319">
        <f>IFERROR((RD[[#This Row],[Sunset Time (POA&lt;20 W/m2)]]-RD[[#This Row],[Sunrise Time (POA&gt;20 W/m2)]])*24,0)</f>
        <v>0</v>
      </c>
      <c r="FD135" s="320"/>
      <c r="FE135"/>
      <c r="FG135" s="138" t="str">
        <f>IFERROR(RD[[#This Row],[E_AC (WPR)]]/RD[[#This Row],[E_DC (WPR)]],"")</f>
        <v/>
      </c>
    </row>
    <row r="136" spans="1:163">
      <c r="A136" s="130">
        <f>A135+1</f>
        <v>45876</v>
      </c>
      <c r="B136" s="132">
        <f>YEAR(RD[[#This Row],[Date]])+IF(MONTH(RD[[#This Row],[Date]])&gt;=4,1,0)</f>
        <v>2026</v>
      </c>
      <c r="C136" s="132">
        <f>YEAR(RD[[#This Row],[Date]])</f>
        <v>2025</v>
      </c>
      <c r="D136" s="133">
        <f>A136-DAY(A136)+1</f>
        <v>45870</v>
      </c>
      <c r="E136" s="132">
        <f>DAY(EOMONTH(RD[[#This Row],[Date]],0))</f>
        <v>31</v>
      </c>
      <c r="F136" s="321"/>
      <c r="G136" s="322"/>
      <c r="H136" s="321"/>
      <c r="I136" s="323"/>
      <c r="J136" s="321"/>
      <c r="K136" s="321"/>
      <c r="L136" s="321"/>
      <c r="M136" s="321"/>
      <c r="N136" s="321"/>
      <c r="O136" s="321"/>
      <c r="P136" s="321"/>
      <c r="Q136" s="321"/>
      <c r="R136" s="321"/>
      <c r="S136" s="323"/>
      <c r="T136" s="321"/>
      <c r="U136" s="321"/>
      <c r="V136" s="321"/>
      <c r="W136" s="321"/>
      <c r="X136" s="283"/>
      <c r="Y136" s="192"/>
      <c r="Z136" s="192"/>
      <c r="AA136" s="192"/>
      <c r="AB136" s="283"/>
      <c r="AC136" s="192"/>
      <c r="AD136" s="192"/>
      <c r="AE136" s="192"/>
      <c r="AF136" s="283"/>
      <c r="AG136" s="192"/>
      <c r="AH136" s="192"/>
      <c r="AI136" s="283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92"/>
      <c r="BW136" s="192"/>
      <c r="BX136" s="192"/>
      <c r="BY136" s="192"/>
      <c r="BZ136" s="136"/>
      <c r="CA136" s="136"/>
      <c r="CB136" s="136"/>
      <c r="CC136" s="136"/>
      <c r="CD136" s="284"/>
      <c r="CE136" s="59"/>
      <c r="CF136" s="284"/>
      <c r="CG136" s="195"/>
      <c r="CH136" s="284"/>
      <c r="CI136" s="195"/>
      <c r="CJ136" s="285"/>
      <c r="CK136" s="59"/>
      <c r="CL136" s="284"/>
      <c r="CM136" s="195"/>
      <c r="CN136" s="284"/>
      <c r="CO136" s="195"/>
      <c r="CP136" s="284"/>
      <c r="CQ136" s="195"/>
      <c r="CR136" s="284"/>
      <c r="CS136" s="59"/>
      <c r="CT136" s="284"/>
      <c r="CU136" s="195"/>
      <c r="CV136" s="284"/>
      <c r="CW136" s="247"/>
      <c r="CX136" s="193" t="str">
        <f>IFERROR(AVERAGEIF(RD[[#This Row],[IS1POA1 (KWh/m2)]:[IS7POA2 (KWh/m2)]],"&lt;&gt;0",RD[[#This Row],[IS1POA1 (KWh/m2)]:[IS7POA2 (KWh/m2)]]),"")</f>
        <v/>
      </c>
      <c r="CY136" s="193" t="str">
        <f>IFERROR(AVERAGEIF(RD[[#This Row],[IS1GHI1 (KWh/m2)]:[IS7GHI2 (KWh/m2)]],"&lt;&gt;0",RD[[#This Row],[IS1GHI1 (KWh/m2)]:[IS7GHI2 (KWh/m2)]]),"")</f>
        <v/>
      </c>
      <c r="CZ136" s="193" t="str">
        <f>IFERROR(AVERAGEIF(RD[[#This Row],[IS1POA_BS1 (KWh/m2)]:[IS7POA_BS2 (KWh/m2)]],"&lt;&gt;0",RD[[#This Row],[IS1POA_BS1 (KWh/m2)]:[IS7POA_BS2 (KWh/m2)]]),"")</f>
        <v/>
      </c>
      <c r="DA136" s="193" t="str">
        <f>IFERROR(AVERAGEIF(RD[[#This Row],[IS1GHI_BS1 (KWh/m2)]:[IS1GHI_BS1 (KWh/m2)2]],"&lt;&gt;0",RD[[#This Row],[IS1GHI_BS1 (KWh/m2)]:[IS1GHI_BS1 (KWh/m2)2]]),"")</f>
        <v/>
      </c>
      <c r="DB136" s="193" t="str">
        <f>IFERROR(AVERAGEIF(RD[[#This Row],[IS1AT1 (°C)]:[IS7AT2 (°C)]],"&lt;&gt;0",RD[[#This Row],[IS1AT1 (°C)]:[IS7AT2 (°C)]]),"")</f>
        <v/>
      </c>
      <c r="DC136" s="193" t="str">
        <f>IFERROR(AVERAGEIF(RD[[#This Row],[IS1MT1 (°C)]:[IS7MT2 (°C)]],"&lt;&gt;0",RD[[#This Row],[IS1MT1 (°C)]:[IS7MT2 (°C)]]),"")</f>
        <v/>
      </c>
      <c r="DD136" s="193" t="str">
        <f>IFERROR(AVERAGEIF(RD[[#This Row],[IS1RH1 (%)]:[IS7RH2 (%)]],"&lt;&gt;0",RD[[#This Row],[IS1RH1 (%)]:[IS7RH2 (%)]]),"")</f>
        <v/>
      </c>
      <c r="DE136" s="193" t="str">
        <f>IFERROR(AVERAGEIF(RD[[#This Row],[IS1Rain1 (mm)]:[IS7Rain2 (mm)]],"&lt;&gt;0",RD[[#This Row],[IS1Rain1 (mm)]:[IS7Rain2 (mm)]]),"")</f>
        <v/>
      </c>
      <c r="DF136" s="193" t="str">
        <f>IFERROR(AVERAGEIF(RD[[#This Row],[WS_Solar1_Avg (m/s)]:[IS7_WS_Solar1_Avg (m/s)]],"&lt;&gt;0",RD[[#This Row],[WS_Solar1_Avg (m/s)]:[IS7_WS_Solar1_Avg (m/s)]]),"")</f>
        <v/>
      </c>
      <c r="DG136" s="193" t="str">
        <f>IFERROR(AVERAGEIF(RD[[#This Row],[WS_Solar1_Max (m/s)]:[IS7_WS_Solar1_Max (m/s)]],"&lt;&gt;0",RD[[#This Row],[WS_Solar1_Max (m/s)]:[IS7_WS_Solar1_Max (m/s)]]),"")</f>
        <v/>
      </c>
      <c r="DH136" s="193">
        <f>SUM(RD[[#This Row],[IS1Inv1M1]:[IS4Inv4M2]])</f>
        <v>0</v>
      </c>
      <c r="DI136" s="194">
        <f>SUM(RD[[#This Row],[IS7Inv1M1]]+RD[[#This Row],[IS7Inv2M1]])</f>
        <v>0</v>
      </c>
      <c r="DJ136" s="193">
        <f>SUM(RD[[#This Row],[IS5Inv1M1]:[IS5Inv2M2]])</f>
        <v>0</v>
      </c>
      <c r="DK136" s="193">
        <f>SUM(RD[[#This Row],[IS8Inv1M1]:[IS9Inv2M2]])</f>
        <v>0</v>
      </c>
      <c r="DL136" s="60">
        <f>SUM(RD[[#This Row],[IS6Inv1M1]:[IS6Inv2M2]])</f>
        <v>0</v>
      </c>
      <c r="DM136" s="275">
        <f>SUM(RD[[#This Row],[IS10Inv1M1]:[IS11Inv1M4]],RD[[#This Row],[IS14Inv1M1]:[IS14Inv2M4]])</f>
        <v>0</v>
      </c>
      <c r="DN136" s="275">
        <f>SUM(RD[[#This Row],[IS12Inv1M1]:[IS12Inv1M4]])</f>
        <v>0</v>
      </c>
      <c r="DO136" s="275">
        <f>SUM(RD[[#This Row],[IS13Inv1M1]:[IS13Inv2M2]])</f>
        <v>0</v>
      </c>
      <c r="DP136" s="193">
        <f>SUM(RD[[#This Row],[O2R15]:[O2R26]])</f>
        <v>0</v>
      </c>
      <c r="DQ136" s="314"/>
      <c r="DR136" s="131"/>
      <c r="DS136" s="315"/>
      <c r="DT136" s="314"/>
      <c r="DU136" s="131"/>
      <c r="DV136" s="131"/>
      <c r="DW136" s="314"/>
      <c r="DX136" s="131"/>
      <c r="DY136" s="131"/>
      <c r="DZ136" s="131"/>
      <c r="EA136" s="131"/>
      <c r="EB136" s="314"/>
      <c r="EC136" s="314"/>
      <c r="ED136" s="314"/>
      <c r="EE136" s="314"/>
      <c r="EF136" s="314"/>
      <c r="EG136" s="229"/>
      <c r="EH136" s="140">
        <f>IF((RD[[#This Row],[33 kV_F3_Ex
Incomer1]]-DQ135)*1000&lt;0,0,(RD[[#This Row],[33 kV_F3_Ex
Incomer1]]-DQ135)*1000)</f>
        <v>0</v>
      </c>
      <c r="EI136" s="316"/>
      <c r="EJ136" s="140"/>
      <c r="EK136" s="140"/>
      <c r="EL136" s="140"/>
      <c r="EM136" s="140"/>
      <c r="EN136" s="140"/>
      <c r="EO136" s="140"/>
      <c r="EP136" s="140">
        <f>IF((RD[[#This Row],[33 kV_F7_Ex
Incomer5]]-DY135)*1000&lt;0,0,(RD[[#This Row],[33 kV_F7_Ex
Incomer5]]-DY135)*1000)</f>
        <v>0</v>
      </c>
      <c r="EQ136" s="140">
        <f>IF((RD[[#This Row],[33 kV_F7_Im
Incomer5]]-DZ135)*1000&lt;0,0,(RD[[#This Row],[33 kV_F7_Im
Incomer5]]-DZ135)*1000)</f>
        <v>0</v>
      </c>
      <c r="ER136" s="140"/>
      <c r="ES136" s="317">
        <f>IF((RD[[#This Row],[33kV_OG1_Ex_]]-EB135)*1000&lt;=0,0,(RD[[#This Row],[33kV_OG1_Ex_]]-EB135)*1000)</f>
        <v>0</v>
      </c>
      <c r="ET136" s="316">
        <f>IFERROR(IF((RD[[#This Row],[33kV_OG1_Im]]-EC135)*1000&lt;=0,0,(RD[[#This Row],[33kV_OG1_Im]]-EC135)*1000),0)</f>
        <v>0</v>
      </c>
      <c r="EU136" s="316">
        <f>(RD[[#This Row],[132kV_TX1_EX]]-EE133)</f>
        <v>0</v>
      </c>
      <c r="EV136" s="316">
        <f>IF((RD[[#This Row],[132 kV_Tx1_Im]]-EE135)*800000&lt;=0,0,(RD[[#This Row],[132 kV_Tx1_Im]]-EE135)*800000)</f>
        <v>0</v>
      </c>
      <c r="EW136" s="316">
        <f>IF((RD[[#This Row],[132kV_L1_Ex]]-EF135)*1600000&lt;=0,0,(RD[[#This Row],[132kV_L1_Ex]]-EF135)*1600000)</f>
        <v>0</v>
      </c>
      <c r="EX136" s="316" t="str">
        <f>IF((RD[[#This Row],[132kV_L1_Im]]-EG135)*1600000&lt;=0,"",(RD[[#This Row],[132kV_L1_Im]]-EG135)*1600000)</f>
        <v/>
      </c>
      <c r="EY136" s="316">
        <f>IFERROR(RD[[#This Row],[33kV_OG1_Ex (MWh)]]+RD[[#This Row],[33kV_OG1_Im (MWh)]],"")</f>
        <v>0</v>
      </c>
      <c r="EZ136" s="142">
        <f>RD[[#This Row],[33kV_OG1_Ex (MWh)]]-RD[[#This Row],[33kV_OG1_Im (MWh)]]</f>
        <v>0</v>
      </c>
      <c r="FA136" s="142" t="str">
        <f>IFERROR(RD[[#This Row],[132kV_L1_Ex(MWh)]]-RD[[#This Row],[132kV_L1_Im(MWh)]],"")</f>
        <v/>
      </c>
      <c r="FB136" s="318" t="str">
        <f>IFERROR(RD[[#This Row],[33kV_Ex(MWh)]]/RD[[#This Row],[Inv Total Gneration (MWh)]]-1,"")</f>
        <v/>
      </c>
      <c r="FC136" s="319">
        <f>IFERROR((RD[[#This Row],[Sunset Time (POA&lt;20 W/m2)]]-RD[[#This Row],[Sunrise Time (POA&gt;20 W/m2)]])*24,0)</f>
        <v>0</v>
      </c>
      <c r="FD136" s="320"/>
      <c r="FE136"/>
      <c r="FG136" s="138" t="str">
        <f>IFERROR(RD[[#This Row],[E_AC (WPR)]]/RD[[#This Row],[E_DC (WPR)]],"")</f>
        <v/>
      </c>
    </row>
  </sheetData>
  <mergeCells count="1">
    <mergeCell ref="EI3:FC3"/>
  </mergeCells>
  <phoneticPr fontId="93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BR19" activePane="bottomRight" state="frozen"/>
      <selection pane="topRight" activeCell="C1" sqref="C1"/>
      <selection pane="bottomLeft" activeCell="A4" sqref="A4"/>
      <selection pane="bottomRight" activeCell="CE31" sqref="CE31"/>
    </sheetView>
  </sheetViews>
  <sheetFormatPr defaultRowHeight="15"/>
  <cols>
    <col min="1" max="1" width="1.140625" customWidth="1"/>
    <col min="2" max="2" width="11.42578125" customWidth="1"/>
    <col min="3" max="48" width="12.7109375" bestFit="1" customWidth="1"/>
    <col min="49" max="72" width="13.5703125" bestFit="1" customWidth="1"/>
    <col min="73" max="76" width="13.5703125" customWidth="1"/>
    <col min="77" max="79" width="13.42578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1169.57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  <c r="BY3" s="172" t="s">
        <v>1310</v>
      </c>
      <c r="BZ3" s="172" t="s">
        <v>1311</v>
      </c>
      <c r="CA3" s="172" t="s">
        <v>1312</v>
      </c>
    </row>
    <row r="4" spans="2:79">
      <c r="B4" s="173">
        <f>O2Summary!B5-31</f>
        <v>45837</v>
      </c>
      <c r="C4" s="168">
        <f>IFERROR(VLOOKUP($B4,RD[#All],C$2,0)/C$1,"")</f>
        <v>2.1654383090950664</v>
      </c>
      <c r="D4" s="168">
        <f>IFERROR(VLOOKUP($B4,RD[#All],D$2,0)/D$1,"")</f>
        <v>2.1499650755964557</v>
      </c>
      <c r="E4" s="168">
        <f>IFERROR(VLOOKUP($B4,RD[#All],E$2,0)/E$1,"")</f>
        <v>2.1300387951847348</v>
      </c>
      <c r="F4" s="168">
        <f>IFERROR(VLOOKUP($B4,RD[#All],F$2,0)/F$1,"")</f>
        <v>2.1540999835010726</v>
      </c>
      <c r="G4" s="168">
        <f>IFERROR(VLOOKUP($B4,RD[#All],G$2,0)/G$1,"")</f>
        <v>2.1708565899172694</v>
      </c>
      <c r="H4" s="168">
        <f>IFERROR(VLOOKUP($B4,RD[#All],H$2,0)/H$1,"")</f>
        <v>2.1576814898335956</v>
      </c>
      <c r="I4" s="168">
        <f>IFERROR(VLOOKUP($B4,RD[#All],I$2,0)/I$1,"")</f>
        <v>2.1869482791194614</v>
      </c>
      <c r="J4" s="168">
        <f>IFERROR(VLOOKUP($B4,RD[#All],J$2,0)/J$1,"")</f>
        <v>2.1798657246300399</v>
      </c>
      <c r="K4" s="168">
        <f>IFERROR(VLOOKUP($B4,RD[#All],K$2,0)/K$1,"")</f>
        <v>2.1564915601829941</v>
      </c>
      <c r="L4" s="168">
        <f>IFERROR(VLOOKUP($B4,RD[#All],L$2,0)/L$1,"")</f>
        <v>2.1995795559059252</v>
      </c>
      <c r="M4" s="168">
        <f>IFERROR(VLOOKUP($B4,RD[#All],M$2,0)/M$1,"")</f>
        <v>2.2523812651908299</v>
      </c>
      <c r="N4" s="168">
        <f>IFERROR(VLOOKUP($B4,RD[#All],N$2,0)/N$1,"")</f>
        <v>2.1695087904625372</v>
      </c>
      <c r="O4" s="168">
        <f>IFERROR(VLOOKUP($B4,RD[#All],O$2,0)/O$1,"")</f>
        <v>2.3050085933326039</v>
      </c>
      <c r="P4" s="168">
        <f>IFERROR(VLOOKUP($B4,RD[#All],P$2,0)/P$1,"")</f>
        <v>2.1209517761757128</v>
      </c>
      <c r="Q4" s="168">
        <f>IFERROR(VLOOKUP($B4,RD[#All],Q$2,0)/Q$1,"")</f>
        <v>2.1709689764576621</v>
      </c>
      <c r="R4" s="168">
        <f>IFERROR(VLOOKUP($B4,RD[#All],R$2,0)/R$1,"")</f>
        <v>2.1536758221598551</v>
      </c>
      <c r="S4" s="168">
        <f>IFERROR(VLOOKUP($B4,RD[#All],S$2,0)/S$1,"")</f>
        <v>2.158029427674014</v>
      </c>
      <c r="T4" s="168">
        <f>IFERROR(VLOOKUP($B4,RD[#All],T$2,0)/T$1,"")</f>
        <v>2.1809120096520953</v>
      </c>
      <c r="U4" s="168">
        <f>IFERROR(VLOOKUP($B4,RD[#All],U$2,0)/U$1,"")</f>
        <v>2.1779524745399317</v>
      </c>
      <c r="V4" s="168">
        <f>IFERROR(VLOOKUP($B4,RD[#All],V$2,0)/V$1,"")</f>
        <v>2.1875634620852118</v>
      </c>
      <c r="W4" s="168">
        <f>IFERROR(VLOOKUP($B4,RD[#All],W$2,0)/W$1,"")</f>
        <v>2.1539349942253754</v>
      </c>
      <c r="X4" s="168">
        <f>IFERROR(VLOOKUP($B4,RD[#All],X$2,0)/X$1,"")</f>
        <v>2.1242383037019201</v>
      </c>
      <c r="Y4" s="168">
        <f>IFERROR(VLOOKUP($B4,RD[#All],Y$2,0)/Y$1,"")</f>
        <v>2.1857878400249415</v>
      </c>
      <c r="Z4" s="168">
        <f>IFERROR(VLOOKUP($B4,RD[#All],Z$2,0)/Z$1,"")</f>
        <v>2.2267006588987233</v>
      </c>
      <c r="AA4" s="168">
        <f>IFERROR(VLOOKUP($B4,RD[#All],AA$2,0)/AA$1,"")</f>
        <v>2.1914864369501466</v>
      </c>
      <c r="AB4" s="168">
        <f>IFERROR(VLOOKUP($B4,RD[#All],AB$2,0)/AB$1,"")</f>
        <v>2.1709599745581749</v>
      </c>
      <c r="AC4" s="168">
        <f>IFERROR(VLOOKUP($B4,RD[#All],AC$2,0)/AC$1,"")</f>
        <v>2.2036229591626206</v>
      </c>
      <c r="AD4" s="168">
        <f>IFERROR(VLOOKUP($B4,RD[#All],AD$2,0)/AD$1,"")</f>
        <v>2.1809102002078906</v>
      </c>
      <c r="AE4" s="168">
        <f>IFERROR(VLOOKUP($B4,RD[#All],AE$2,0)/AE$1,"")</f>
        <v>2.4004820357603274</v>
      </c>
      <c r="AF4" s="168">
        <f>IFERROR(VLOOKUP($B4,RD[#All],AF$2,0)/AF$1,"")</f>
        <v>2.3831417624521074</v>
      </c>
      <c r="AG4" s="168">
        <f>IFERROR(VLOOKUP($B4,RD[#All],AG$2,0)/AG$1,"")</f>
        <v>2.3894234700831403</v>
      </c>
      <c r="AH4" s="168">
        <f>IFERROR(VLOOKUP($B4,RD[#All],AH$2,0)/AH$1,"")</f>
        <v>2.37355983066288</v>
      </c>
      <c r="AI4" s="168">
        <f>IFERROR(VLOOKUP($B4,RD[#All],AI$2,0)/AI$1,"")</f>
        <v>2.3953659533869427</v>
      </c>
      <c r="AJ4" s="168">
        <f>IFERROR(VLOOKUP($B4,RD[#All],AJ$2,0)/AJ$1,"")</f>
        <v>2.4037828297463188</v>
      </c>
      <c r="AK4" s="168">
        <f>IFERROR(VLOOKUP($B4,RD[#All],AK$2,0)/AK$1,"")</f>
        <v>2.3782477020349613</v>
      </c>
      <c r="AL4" s="168">
        <f>IFERROR(VLOOKUP($B4,RD[#All],AL$2,0)/AL$1,"")</f>
        <v>2.2899146038266132</v>
      </c>
      <c r="AM4" s="168">
        <f>IFERROR(VLOOKUP($B4,RD[#All],AM$2,0)/AM$1,"")</f>
        <v>2.3923886192761517</v>
      </c>
      <c r="AN4" s="168">
        <f>IFERROR(VLOOKUP($B4,RD[#All],AN$2,0)/AN$1,"")</f>
        <v>2.4082063984599542</v>
      </c>
      <c r="AO4" s="168">
        <f>IFERROR(VLOOKUP($B4,RD[#All],AO$2,0)/AO$1,"")</f>
        <v>2.3608203706072008</v>
      </c>
      <c r="AP4" s="168">
        <f>IFERROR(VLOOKUP($B4,RD[#All],AP$2,0)/AP$1,"")</f>
        <v>2.3546278783309886</v>
      </c>
      <c r="AQ4" s="168">
        <f>IFERROR(VLOOKUP($B4,RD[#All],AQ$2,0)/AQ$1,"")</f>
        <v>2.3642405896288494</v>
      </c>
      <c r="AR4" s="168">
        <f>IFERROR(VLOOKUP($B4,RD[#All],AR$2,0)/AR$1,"")</f>
        <v>2.3867197256031569</v>
      </c>
      <c r="AS4" s="168">
        <f>IFERROR(VLOOKUP($B4,RD[#All],AS$2,0)/AS$1,"")</f>
        <v>2.3793689291949334</v>
      </c>
      <c r="AT4" s="168">
        <f>IFERROR(VLOOKUP($B4,RD[#All],AT$2,0)/AT$1,"")</f>
        <v>2.4240011732417086</v>
      </c>
      <c r="AU4" s="168">
        <f>IFERROR(VLOOKUP($B4,RD[#All],AU$2,0)/AU$1,"")</f>
        <v>2.4456898728482739</v>
      </c>
      <c r="AV4" s="168">
        <f>IFERROR(VLOOKUP($B4,RD[#All],AV$2,0)/AV$1,"")</f>
        <v>2.4341909560076869</v>
      </c>
      <c r="AW4" s="168">
        <f>IFERROR(VLOOKUP($B4,RD[#All],AW$2,0)/AW$1,"")</f>
        <v>2.1881799741840315</v>
      </c>
      <c r="AX4" s="168">
        <f>IFERROR(VLOOKUP($B4,RD[#All],AX$2,0)/AX$1,"")</f>
        <v>2.212921238244514</v>
      </c>
      <c r="AY4" s="168">
        <f>IFERROR(VLOOKUP($B4,RD[#All],AY$2,0)/AY$1,"")</f>
        <v>2.0966258863866596</v>
      </c>
      <c r="AZ4" s="168">
        <f>IFERROR(VLOOKUP($B4,RD[#All],AZ$2,0)/AZ$1,"")</f>
        <v>2.2296491050662355</v>
      </c>
      <c r="BA4" s="168">
        <f>IFERROR(VLOOKUP($B4,RD[#All],BA$2,0)/BA$1,"")</f>
        <v>2.1311008225039894</v>
      </c>
      <c r="BB4" s="168">
        <f>IFERROR(VLOOKUP($B4,RD[#All],BB$2,0)/BB$1,"")</f>
        <v>2.1826185553258188</v>
      </c>
      <c r="BC4" s="168">
        <f>IFERROR(VLOOKUP($B4,RD[#All],BC$2,0)/BC$1,"")</f>
        <v>2.1742946708463951</v>
      </c>
      <c r="BD4" s="168">
        <f>IFERROR(VLOOKUP($B4,RD[#All],BD$2,0)/BD$1,"")</f>
        <v>2.2106081250149203</v>
      </c>
      <c r="BE4" s="168">
        <f>IFERROR(VLOOKUP($B4,RD[#All],BE$2,0)/BE$1,"")</f>
        <v>2.1630986432225674</v>
      </c>
      <c r="BF4" s="168">
        <f>IFERROR(VLOOKUP($B4,RD[#All],BF$2,0)/BF$1,"")</f>
        <v>2.1587421017980972</v>
      </c>
      <c r="BG4" s="168">
        <f>IFERROR(VLOOKUP($B4,RD[#All],BG$2,0)/BG$1,"")</f>
        <v>2.2031290443185414</v>
      </c>
      <c r="BH4" s="168">
        <f>IFERROR(VLOOKUP($B4,RD[#All],BH$2,0)/BH$1,"")</f>
        <v>2.1778205976244571</v>
      </c>
      <c r="BI4" s="168">
        <f>IFERROR(VLOOKUP($B4,RD[#All],BI$2,0)/BI$1,"")</f>
        <v>2.2102327521046732</v>
      </c>
      <c r="BJ4" s="168">
        <f>IFERROR(VLOOKUP($B4,RD[#All],BJ$2,0)/BJ$1,"")</f>
        <v>2.2107554347079743</v>
      </c>
      <c r="BK4" s="168">
        <f>IFERROR(VLOOKUP($B4,RD[#All],BK$2,0)/BK$1,"")</f>
        <v>2.2006235444369318</v>
      </c>
      <c r="BL4" s="168">
        <f>IFERROR(VLOOKUP($B4,RD[#All],BL$2,0)/BL$1,"")</f>
        <v>2.2094242160168736</v>
      </c>
      <c r="BM4" s="168">
        <f>IFERROR(VLOOKUP($B4,RD[#All],BM$2,0)/BM$1,"")</f>
        <v>2.2130013831258641</v>
      </c>
      <c r="BN4" s="168">
        <f>IFERROR(VLOOKUP($B4,RD[#All],BN$2,0)/BN$1,"")</f>
        <v>2.1837301747099196</v>
      </c>
      <c r="BO4" s="168">
        <f>IFERROR(VLOOKUP($B4,RD[#All],BO$2,0)/BO$1,"")</f>
        <v>2.0416764095016711</v>
      </c>
      <c r="BP4" s="168">
        <f>IFERROR(VLOOKUP($B4,RD[#All],BP$2,0)/BP$1,"")</f>
        <v>2.1605823860088833</v>
      </c>
      <c r="BQ4" s="168">
        <f>IFERROR(VLOOKUP($B4,RD[#All],BQ$2,0)/BQ$1,"")</f>
        <v>1.7535516574401386</v>
      </c>
      <c r="BR4" s="168">
        <f>IFERROR(VLOOKUP($B4,RD[#All],BR$2,0)/BR$1,"")</f>
        <v>1.5553007324110379</v>
      </c>
      <c r="BS4" s="168">
        <f>IFERROR(VLOOKUP($B4,RD[#All],BS$2,0)/BS$1,"")</f>
        <v>2.0583535897377647</v>
      </c>
      <c r="BT4" s="168">
        <f>IFERROR(VLOOKUP($B4,RD[#All],BT$2,0)/BT$1,"")</f>
        <v>1.6507390159951407</v>
      </c>
      <c r="BU4" s="168">
        <f>IFERROR(VLOOKUP($B4,RD[#All],BU$2,0)/BU$1,"")</f>
        <v>0.4580107645801077</v>
      </c>
      <c r="BV4" s="168">
        <f>IFERROR(VLOOKUP($B4,RD[#All],BV$2,0)/BV$1,"")</f>
        <v>1.4668421052631577</v>
      </c>
      <c r="BW4" s="168">
        <f>IFERROR(VLOOKUP($B4,RD[#All],BW$2,0)/BW$1,"")</f>
        <v>2.1746838179656249</v>
      </c>
      <c r="BX4" s="168">
        <f>IFERROR(VLOOKUP($B4,RD[#All],BX$2,0)/BX$1,"")</f>
        <v>2.1502062365946211</v>
      </c>
      <c r="BY4" s="174">
        <f>AVERAGEIF(Inv_SY_B[[#This Row],[IS1Inv1M1]:[IS4Inv4M2]],"&gt;="&amp;0.1,Inv_SY_B[[#This Row],[IS1Inv1M1]:[IS4Inv4M2]])</f>
        <v>2.1773414045866732</v>
      </c>
      <c r="BZ4" s="174">
        <f>AVERAGEIF(Inv_SY_B[[#This Row],[IS5Inv1M1]:[IS9Inv2M2]],"&gt;="&amp;0.1,Inv_SY_B[[#This Row],[IS5Inv1M1]:[IS9Inv2M2]])</f>
        <v>2.3868984833973439</v>
      </c>
      <c r="CA4" s="174">
        <f>AVERAGEIF(Inv_SY_B[[#This Row],[IS10Inv1M1]:[IS14Inv2M4]],"&gt;="&amp;0.1,Inv_SY_B[[#This Row],[IS10Inv1M1]:[IS14Inv2M4]])</f>
        <v>2.0295179637548788</v>
      </c>
    </row>
    <row r="5" spans="2:79">
      <c r="B5" s="173">
        <f>B4+1</f>
        <v>45838</v>
      </c>
      <c r="C5" s="168">
        <f>IFERROR(VLOOKUP($B5,RD[#All],C$2,0)/C$1,"")</f>
        <v>2.5562784054425687</v>
      </c>
      <c r="D5" s="168">
        <f>IFERROR(VLOOKUP($B5,RD[#All],D$2,0)/D$1,"")</f>
        <v>2.553522039961035</v>
      </c>
      <c r="E5" s="168">
        <f>IFERROR(VLOOKUP($B5,RD[#All],E$2,0)/E$1,"")</f>
        <v>2.521720308363443</v>
      </c>
      <c r="F5" s="168">
        <f>IFERROR(VLOOKUP($B5,RD[#All],F$2,0)/F$1,"")</f>
        <v>2.5052631578947366</v>
      </c>
      <c r="G5" s="168">
        <f>IFERROR(VLOOKUP($B5,RD[#All],G$2,0)/G$1,"")</f>
        <v>2.513313126005293</v>
      </c>
      <c r="H5" s="168">
        <f>IFERROR(VLOOKUP($B5,RD[#All],H$2,0)/H$1,"")</f>
        <v>2.5057925582663212</v>
      </c>
      <c r="I5" s="168">
        <f>IFERROR(VLOOKUP($B5,RD[#All],I$2,0)/I$1,"")</f>
        <v>2.5593334071675669</v>
      </c>
      <c r="J5" s="168">
        <f>IFERROR(VLOOKUP($B5,RD[#All],J$2,0)/J$1,"")</f>
        <v>2.5662296272862548</v>
      </c>
      <c r="K5" s="168">
        <f>IFERROR(VLOOKUP($B5,RD[#All],K$2,0)/K$1,"")</f>
        <v>2.5299258558132198</v>
      </c>
      <c r="L5" s="168">
        <f>IFERROR(VLOOKUP($B5,RD[#All],L$2,0)/L$1,"")</f>
        <v>2.5589935619498094</v>
      </c>
      <c r="M5" s="168">
        <f>IFERROR(VLOOKUP($B5,RD[#All],M$2,0)/M$1,"")</f>
        <v>2.6236615647375681</v>
      </c>
      <c r="N5" s="168">
        <f>IFERROR(VLOOKUP($B5,RD[#All],N$2,0)/N$1,"")</f>
        <v>2.5427576146281345</v>
      </c>
      <c r="O5" s="168">
        <f>IFERROR(VLOOKUP($B5,RD[#All],O$2,0)/O$1,"")</f>
        <v>2.7030054134776926</v>
      </c>
      <c r="P5" s="168">
        <f>IFERROR(VLOOKUP($B5,RD[#All],P$2,0)/P$1,"")</f>
        <v>2.470272558614421</v>
      </c>
      <c r="Q5" s="168">
        <f>IFERROR(VLOOKUP($B5,RD[#All],Q$2,0)/Q$1,"")</f>
        <v>2.5423132476574941</v>
      </c>
      <c r="R5" s="168">
        <f>IFERROR(VLOOKUP($B5,RD[#All],R$2,0)/R$1,"")</f>
        <v>2.5469092968915947</v>
      </c>
      <c r="S5" s="168">
        <f>IFERROR(VLOOKUP($B5,RD[#All],S$2,0)/S$1,"")</f>
        <v>2.5418528434478653</v>
      </c>
      <c r="T5" s="168">
        <f>IFERROR(VLOOKUP($B5,RD[#All],T$2,0)/T$1,"")</f>
        <v>2.563554432716717</v>
      </c>
      <c r="U5" s="168">
        <f>IFERROR(VLOOKUP($B5,RD[#All],U$2,0)/U$1,"")</f>
        <v>2.5627920972701537</v>
      </c>
      <c r="V5" s="168">
        <f>IFERROR(VLOOKUP($B5,RD[#All],V$2,0)/V$1,"")</f>
        <v>2.5791442716019302</v>
      </c>
      <c r="W5" s="168">
        <f>IFERROR(VLOOKUP($B5,RD[#All],W$2,0)/W$1,"")</f>
        <v>2.4934004289721168</v>
      </c>
      <c r="X5" s="168">
        <f>IFERROR(VLOOKUP($B5,RD[#All],X$2,0)/X$1,"")</f>
        <v>2.4446848264332774</v>
      </c>
      <c r="Y5" s="168">
        <f>IFERROR(VLOOKUP($B5,RD[#All],Y$2,0)/Y$1,"")</f>
        <v>2.5106712698696523</v>
      </c>
      <c r="Z5" s="168">
        <f>IFERROR(VLOOKUP($B5,RD[#All],Z$2,0)/Z$1,"")</f>
        <v>2.536535664913194</v>
      </c>
      <c r="AA5" s="168">
        <f>IFERROR(VLOOKUP($B5,RD[#All],AA$2,0)/AA$1,"")</f>
        <v>2.5364277859237534</v>
      </c>
      <c r="AB5" s="168">
        <f>IFERROR(VLOOKUP($B5,RD[#All],AB$2,0)/AB$1,"")</f>
        <v>2.5351869519785555</v>
      </c>
      <c r="AC5" s="168">
        <f>IFERROR(VLOOKUP($B5,RD[#All],AC$2,0)/AC$1,"")</f>
        <v>2.5291482699017465</v>
      </c>
      <c r="AD5" s="168">
        <f>IFERROR(VLOOKUP($B5,RD[#All],AD$2,0)/AD$1,"")</f>
        <v>2.4956840059655621</v>
      </c>
      <c r="AE5" s="168">
        <f>IFERROR(VLOOKUP($B5,RD[#All],AE$2,0)/AE$1,"")</f>
        <v>2.480690544252004</v>
      </c>
      <c r="AF5" s="168">
        <f>IFERROR(VLOOKUP($B5,RD[#All],AF$2,0)/AF$1,"")</f>
        <v>2.4585376309514237</v>
      </c>
      <c r="AG5" s="168">
        <f>IFERROR(VLOOKUP($B5,RD[#All],AG$2,0)/AG$1,"")</f>
        <v>2.4511925855254195</v>
      </c>
      <c r="AH5" s="168">
        <f>IFERROR(VLOOKUP($B5,RD[#All],AH$2,0)/AH$1,"")</f>
        <v>2.4465462729757248</v>
      </c>
      <c r="AI5" s="168">
        <f>IFERROR(VLOOKUP($B5,RD[#All],AI$2,0)/AI$1,"")</f>
        <v>2.4522829494343741</v>
      </c>
      <c r="AJ5" s="168">
        <f>IFERROR(VLOOKUP($B5,RD[#All],AJ$2,0)/AJ$1,"")</f>
        <v>2.4498300887753217</v>
      </c>
      <c r="AK5" s="168">
        <f>IFERROR(VLOOKUP($B5,RD[#All],AK$2,0)/AK$1,"")</f>
        <v>2.4336113915307371</v>
      </c>
      <c r="AL5" s="168">
        <f>IFERROR(VLOOKUP($B5,RD[#All],AL$2,0)/AL$1,"")</f>
        <v>2.3388282347854288</v>
      </c>
      <c r="AM5" s="168">
        <f>IFERROR(VLOOKUP($B5,RD[#All],AM$2,0)/AM$1,"")</f>
        <v>2.4308224572078592</v>
      </c>
      <c r="AN5" s="168">
        <f>IFERROR(VLOOKUP($B5,RD[#All],AN$2,0)/AN$1,"")</f>
        <v>2.4461690685010802</v>
      </c>
      <c r="AO5" s="168">
        <f>IFERROR(VLOOKUP($B5,RD[#All],AO$2,0)/AO$1,"")</f>
        <v>2.4036293389514496</v>
      </c>
      <c r="AP5" s="168">
        <f>IFERROR(VLOOKUP($B5,RD[#All],AP$2,0)/AP$1,"")</f>
        <v>2.4120430512832591</v>
      </c>
      <c r="AQ5" s="168">
        <f>IFERROR(VLOOKUP($B5,RD[#All],AQ$2,0)/AQ$1,"")</f>
        <v>2.4069491971571462</v>
      </c>
      <c r="AR5" s="168">
        <f>IFERROR(VLOOKUP($B5,RD[#All],AR$2,0)/AR$1,"")</f>
        <v>2.4276794485422668</v>
      </c>
      <c r="AS5" s="168">
        <f>IFERROR(VLOOKUP($B5,RD[#All],AS$2,0)/AS$1,"")</f>
        <v>2.4275487129014492</v>
      </c>
      <c r="AT5" s="168">
        <f>IFERROR(VLOOKUP($B5,RD[#All],AT$2,0)/AT$1,"")</f>
        <v>2.4554691919297729</v>
      </c>
      <c r="AU5" s="168">
        <f>IFERROR(VLOOKUP($B5,RD[#All],AU$2,0)/AU$1,"")</f>
        <v>2.455151516910512</v>
      </c>
      <c r="AV5" s="168">
        <f>IFERROR(VLOOKUP($B5,RD[#All],AV$2,0)/AV$1,"")</f>
        <v>2.4467035276008438</v>
      </c>
      <c r="AW5" s="168">
        <f>IFERROR(VLOOKUP($B5,RD[#All],AW$2,0)/AW$1,"")</f>
        <v>2.6046929743684313</v>
      </c>
      <c r="AX5" s="168">
        <f>IFERROR(VLOOKUP($B5,RD[#All],AX$2,0)/AX$1,"")</f>
        <v>2.6459149686520376</v>
      </c>
      <c r="AY5" s="168">
        <f>IFERROR(VLOOKUP($B5,RD[#All],AY$2,0)/AY$1,"")</f>
        <v>2.5441699784409981</v>
      </c>
      <c r="AZ5" s="168">
        <f>IFERROR(VLOOKUP($B5,RD[#All],AZ$2,0)/AZ$1,"")</f>
        <v>2.5308423500859543</v>
      </c>
      <c r="BA5" s="168">
        <f>IFERROR(VLOOKUP($B5,RD[#All],BA$2,0)/BA$1,"")</f>
        <v>2.5879500534890654</v>
      </c>
      <c r="BB5" s="168">
        <f>IFERROR(VLOOKUP($B5,RD[#All],BB$2,0)/BB$1,"")</f>
        <v>2.6587963271749042</v>
      </c>
      <c r="BC5" s="168">
        <f>IFERROR(VLOOKUP($B5,RD[#All],BC$2,0)/BC$1,"")</f>
        <v>2.6343931930138829</v>
      </c>
      <c r="BD5" s="168">
        <f>IFERROR(VLOOKUP($B5,RD[#All],BD$2,0)/BD$1,"")</f>
        <v>2.6729419337383433</v>
      </c>
      <c r="BE5" s="168">
        <f>IFERROR(VLOOKUP($B5,RD[#All],BE$2,0)/BE$1,"")</f>
        <v>2.643032333018541</v>
      </c>
      <c r="BF5" s="168">
        <f>IFERROR(VLOOKUP($B5,RD[#All],BF$2,0)/BF$1,"")</f>
        <v>2.6416546252041351</v>
      </c>
      <c r="BG5" s="168">
        <f>IFERROR(VLOOKUP($B5,RD[#All],BG$2,0)/BG$1,"")</f>
        <v>2.6972908458197926</v>
      </c>
      <c r="BH5" s="168">
        <f>IFERROR(VLOOKUP($B5,RD[#All],BH$2,0)/BH$1,"")</f>
        <v>3.0564263322884013</v>
      </c>
      <c r="BI5" s="168">
        <f>IFERROR(VLOOKUP($B5,RD[#All],BI$2,0)/BI$1,"")</f>
        <v>2.7004326634868505</v>
      </c>
      <c r="BJ5" s="168">
        <f>IFERROR(VLOOKUP($B5,RD[#All],BJ$2,0)/BJ$1,"")</f>
        <v>2.734794490448921</v>
      </c>
      <c r="BK5" s="168">
        <f>IFERROR(VLOOKUP($B5,RD[#All],BK$2,0)/BK$1,"")</f>
        <v>2.7362707535121329</v>
      </c>
      <c r="BL5" s="168">
        <f>IFERROR(VLOOKUP($B5,RD[#All],BL$2,0)/BL$1,"")</f>
        <v>2.6974324000050522</v>
      </c>
      <c r="BM5" s="168">
        <f>IFERROR(VLOOKUP($B5,RD[#All],BM$2,0)/BM$1,"")</f>
        <v>2.7071901451528819</v>
      </c>
      <c r="BN5" s="168">
        <f>IFERROR(VLOOKUP($B5,RD[#All],BN$2,0)/BN$1,"")</f>
        <v>2.6590193923983638</v>
      </c>
      <c r="BO5" s="168">
        <f>IFERROR(VLOOKUP($B5,RD[#All],BO$2,0)/BO$1,"")</f>
        <v>2.4972834683575642</v>
      </c>
      <c r="BP5" s="168">
        <f>IFERROR(VLOOKUP($B5,RD[#All],BP$2,0)/BP$1,"")</f>
        <v>2.6316592751032424</v>
      </c>
      <c r="BQ5" s="168">
        <f>IFERROR(VLOOKUP($B5,RD[#All],BQ$2,0)/BQ$1,"")</f>
        <v>2.6166877876342292</v>
      </c>
      <c r="BR5" s="168">
        <f>IFERROR(VLOOKUP($B5,RD[#All],BR$2,0)/BR$1,"")</f>
        <v>1.9891987867130281</v>
      </c>
      <c r="BS5" s="168">
        <f>IFERROR(VLOOKUP($B5,RD[#All],BS$2,0)/BS$1,"")</f>
        <v>2.5760845695419405</v>
      </c>
      <c r="BT5" s="168">
        <f>IFERROR(VLOOKUP($B5,RD[#All],BT$2,0)/BT$1,"")</f>
        <v>2.5035432273739624</v>
      </c>
      <c r="BU5" s="168">
        <f>IFERROR(VLOOKUP($B5,RD[#All],BU$2,0)/BU$1,"")</f>
        <v>0.61984811619848124</v>
      </c>
      <c r="BV5" s="168">
        <f>IFERROR(VLOOKUP($B5,RD[#All],BV$2,0)/BV$1,"")</f>
        <v>2.0394736842105261</v>
      </c>
      <c r="BW5" s="168">
        <f>IFERROR(VLOOKUP($B5,RD[#All],BW$2,0)/BW$1,"")</f>
        <v>2.692393615104673</v>
      </c>
      <c r="BX5" s="168">
        <f>IFERROR(VLOOKUP($B5,RD[#All],BX$2,0)/BX$1,"")</f>
        <v>2.6523016003959743</v>
      </c>
      <c r="BY5" s="168">
        <f>AVERAGEIF(Inv_SY_B[[#This Row],[IS1Inv1M1]:[IS4Inv4M2]],"&gt;="&amp;0.1,Inv_SY_B[[#This Row],[IS1Inv1M1]:[IS4Inv4M2]])</f>
        <v>2.5402990926125599</v>
      </c>
      <c r="BZ5" s="168">
        <f>AVERAGEIF(Inv_SY_B[[#This Row],[IS5Inv1M1]:[IS9Inv2M2]],"&gt;="&amp;0.1,Inv_SY_B[[#This Row],[IS5Inv1M1]:[IS9Inv2M2]])</f>
        <v>2.4346491782897819</v>
      </c>
      <c r="CA5" s="168">
        <f>AVERAGEIF(Inv_SY_B[[#This Row],[IS10Inv1M1]:[IS14Inv2M4]],"&gt;="&amp;0.1,Inv_SY_B[[#This Row],[IS10Inv1M1]:[IS14Inv2M4]])</f>
        <v>2.5347042818190109</v>
      </c>
    </row>
    <row r="6" spans="2:79">
      <c r="B6" s="173">
        <f t="shared" ref="B6:B34" si="32">B5+1</f>
        <v>45839</v>
      </c>
      <c r="C6" s="168">
        <f>IFERROR(VLOOKUP($B6,RD[#All],C$2,0)/C$1,"")</f>
        <v>2.9844547251308491</v>
      </c>
      <c r="D6" s="168">
        <f>IFERROR(VLOOKUP($B6,RD[#All],D$2,0)/D$1,"")</f>
        <v>2.9645963647297977</v>
      </c>
      <c r="E6" s="168">
        <f>IFERROR(VLOOKUP($B6,RD[#All],E$2,0)/E$1,"")</f>
        <v>2.9453037846117986</v>
      </c>
      <c r="F6" s="168">
        <f>IFERROR(VLOOKUP($B6,RD[#All],F$2,0)/F$1,"")</f>
        <v>2.9307375020623661</v>
      </c>
      <c r="G6" s="168">
        <f>IFERROR(VLOOKUP($B6,RD[#All],G$2,0)/G$1,"")</f>
        <v>2.9385000865112882</v>
      </c>
      <c r="H6" s="168">
        <f>IFERROR(VLOOKUP($B6,RD[#All],H$2,0)/H$1,"")</f>
        <v>2.9405751669619735</v>
      </c>
      <c r="I6" s="168">
        <f>IFERROR(VLOOKUP($B6,RD[#All],I$2,0)/I$1,"")</f>
        <v>3.0013615901287971</v>
      </c>
      <c r="J6" s="168">
        <f>IFERROR(VLOOKUP($B6,RD[#All],J$2,0)/J$1,"")</f>
        <v>2.9919622247999347</v>
      </c>
      <c r="K6" s="168">
        <f>IFERROR(VLOOKUP($B6,RD[#All],K$2,0)/K$1,"")</f>
        <v>2.9662091812588733</v>
      </c>
      <c r="L6" s="168">
        <f>IFERROR(VLOOKUP($B6,RD[#All],L$2,0)/L$1,"")</f>
        <v>2.9919852844567072</v>
      </c>
      <c r="M6" s="168">
        <f>IFERROR(VLOOKUP($B6,RD[#All],M$2,0)/M$1,"")</f>
        <v>3.0637850620771201</v>
      </c>
      <c r="N6" s="168">
        <f>IFERROR(VLOOKUP($B6,RD[#All],N$2,0)/N$1,"")</f>
        <v>2.9717799743454312</v>
      </c>
      <c r="O6" s="168">
        <f>IFERROR(VLOOKUP($B6,RD[#All],O$2,0)/O$1,"")</f>
        <v>3.1524334901804276</v>
      </c>
      <c r="P6" s="168">
        <f>IFERROR(VLOOKUP($B6,RD[#All],P$2,0)/P$1,"")</f>
        <v>2.8779276082327891</v>
      </c>
      <c r="Q6" s="168">
        <f>IFERROR(VLOOKUP($B6,RD[#All],Q$2,0)/Q$1,"")</f>
        <v>2.9637173931829683</v>
      </c>
      <c r="R6" s="168">
        <f>IFERROR(VLOOKUP($B6,RD[#All],R$2,0)/R$1,"")</f>
        <v>2.9730356027884874</v>
      </c>
      <c r="S6" s="168">
        <f>IFERROR(VLOOKUP($B6,RD[#All],S$2,0)/S$1,"")</f>
        <v>2.9432674081919301</v>
      </c>
      <c r="T6" s="168">
        <f>IFERROR(VLOOKUP($B6,RD[#All],T$2,0)/T$1,"")</f>
        <v>2.9480997437174334</v>
      </c>
      <c r="U6" s="168">
        <f>IFERROR(VLOOKUP($B6,RD[#All],U$2,0)/U$1,"")</f>
        <v>2.9756072331982355</v>
      </c>
      <c r="V6" s="168">
        <f>IFERROR(VLOOKUP($B6,RD[#All],V$2,0)/V$1,"")</f>
        <v>2.9918001344832099</v>
      </c>
      <c r="W6" s="168">
        <f>IFERROR(VLOOKUP($B6,RD[#All],W$2,0)/W$1,"")</f>
        <v>2.8631826431281966</v>
      </c>
      <c r="X6" s="168">
        <f>IFERROR(VLOOKUP($B6,RD[#All],X$2,0)/X$1,"")</f>
        <v>2.8245411171884802</v>
      </c>
      <c r="Y6" s="168">
        <f>IFERROR(VLOOKUP($B6,RD[#All],Y$2,0)/Y$1,"")</f>
        <v>2.8821369131947785</v>
      </c>
      <c r="Z6" s="168">
        <f>IFERROR(VLOOKUP($B6,RD[#All],Z$2,0)/Z$1,"")</f>
        <v>2.9338946839261029</v>
      </c>
      <c r="AA6" s="168">
        <f>IFERROR(VLOOKUP($B6,RD[#All],AA$2,0)/AA$1,"")</f>
        <v>2.9237078445747797</v>
      </c>
      <c r="AB6" s="168">
        <f>IFERROR(VLOOKUP($B6,RD[#All],AB$2,0)/AB$1,"")</f>
        <v>2.9153605015673976</v>
      </c>
      <c r="AC6" s="168">
        <f>IFERROR(VLOOKUP($B6,RD[#All],AC$2,0)/AC$1,"")</f>
        <v>2.9231714418020345</v>
      </c>
      <c r="AD6" s="168">
        <f>IFERROR(VLOOKUP($B6,RD[#All],AD$2,0)/AD$1,"")</f>
        <v>2.8868350883535947</v>
      </c>
      <c r="AE6" s="168">
        <f>IFERROR(VLOOKUP($B6,RD[#All],AE$2,0)/AE$1,"")</f>
        <v>2.9466397623451606</v>
      </c>
      <c r="AF6" s="168">
        <f>IFERROR(VLOOKUP($B6,RD[#All],AF$2,0)/AF$1,"")</f>
        <v>2.9165929855585029</v>
      </c>
      <c r="AG6" s="168">
        <f>IFERROR(VLOOKUP($B6,RD[#All],AG$2,0)/AG$1,"")</f>
        <v>2.9077279542047156</v>
      </c>
      <c r="AH6" s="168">
        <f>IFERROR(VLOOKUP($B6,RD[#All],AH$2,0)/AH$1,"")</f>
        <v>2.8948073522319278</v>
      </c>
      <c r="AI6" s="168">
        <f>IFERROR(VLOOKUP($B6,RD[#All],AI$2,0)/AI$1,"")</f>
        <v>2.9211939484803051</v>
      </c>
      <c r="AJ6" s="168">
        <f>IFERROR(VLOOKUP($B6,RD[#All],AJ$2,0)/AJ$1,"")</f>
        <v>2.920207581465188</v>
      </c>
      <c r="AK6" s="168">
        <f>IFERROR(VLOOKUP($B6,RD[#All],AK$2,0)/AK$1,"")</f>
        <v>2.902927580893683</v>
      </c>
      <c r="AL6" s="168">
        <f>IFERROR(VLOOKUP($B6,RD[#All],AL$2,0)/AL$1,"")</f>
        <v>2.7978056426332287</v>
      </c>
      <c r="AM6" s="168">
        <f>IFERROR(VLOOKUP($B6,RD[#All],AM$2,0)/AM$1,"")</f>
        <v>2.9156542166160722</v>
      </c>
      <c r="AN6" s="168">
        <f>IFERROR(VLOOKUP($B6,RD[#All],AN$2,0)/AN$1,"")</f>
        <v>2.9266930071954067</v>
      </c>
      <c r="AO6" s="168">
        <f>IFERROR(VLOOKUP($B6,RD[#All],AO$2,0)/AO$1,"")</f>
        <v>2.8727779385731687</v>
      </c>
      <c r="AP6" s="168">
        <f>IFERROR(VLOOKUP($B6,RD[#All],AP$2,0)/AP$1,"")</f>
        <v>2.8897399826340977</v>
      </c>
      <c r="AQ6" s="168">
        <f>IFERROR(VLOOKUP($B6,RD[#All],AQ$2,0)/AQ$1,"")</f>
        <v>2.8749012898131086</v>
      </c>
      <c r="AR6" s="168">
        <f>IFERROR(VLOOKUP($B6,RD[#All],AR$2,0)/AR$1,"")</f>
        <v>2.8985497594032541</v>
      </c>
      <c r="AS6" s="168">
        <f>IFERROR(VLOOKUP($B6,RD[#All],AS$2,0)/AS$1,"")</f>
        <v>2.901285341019602</v>
      </c>
      <c r="AT6" s="168">
        <f>IFERROR(VLOOKUP($B6,RD[#All],AT$2,0)/AT$1,"")</f>
        <v>2.9387190714629901</v>
      </c>
      <c r="AU6" s="168">
        <f>IFERROR(VLOOKUP($B6,RD[#All],AU$2,0)/AU$1,"")</f>
        <v>2.943848335069903</v>
      </c>
      <c r="AV6" s="168">
        <f>IFERROR(VLOOKUP($B6,RD[#All],AV$2,0)/AV$1,"")</f>
        <v>2.923786634684848</v>
      </c>
      <c r="AW6" s="168">
        <f>IFERROR(VLOOKUP($B6,RD[#All],AW$2,0)/AW$1,"")</f>
        <v>2.9635810437027481</v>
      </c>
      <c r="AX6" s="168">
        <f>IFERROR(VLOOKUP($B6,RD[#All],AX$2,0)/AX$1,"")</f>
        <v>3.0060246865203766</v>
      </c>
      <c r="AY6" s="168">
        <f>IFERROR(VLOOKUP($B6,RD[#All],AY$2,0)/AY$1,"")</f>
        <v>2.893789449076599</v>
      </c>
      <c r="AZ6" s="168">
        <f>IFERROR(VLOOKUP($B6,RD[#All],AZ$2,0)/AZ$1,"")</f>
        <v>2.8394175346344426</v>
      </c>
      <c r="BA6" s="168">
        <f>IFERROR(VLOOKUP($B6,RD[#All],BA$2,0)/BA$1,"")</f>
        <v>2.9376457796250501</v>
      </c>
      <c r="BB6" s="168">
        <f>IFERROR(VLOOKUP($B6,RD[#All],BB$2,0)/BB$1,"")</f>
        <v>3.0207874786011253</v>
      </c>
      <c r="BC6" s="168">
        <f>IFERROR(VLOOKUP($B6,RD[#All],BC$2,0)/BC$1,"")</f>
        <v>2.983296014330497</v>
      </c>
      <c r="BD6" s="168">
        <f>IFERROR(VLOOKUP($B6,RD[#All],BD$2,0)/BD$1,"")</f>
        <v>3.0405366573504358</v>
      </c>
      <c r="BE6" s="168">
        <f>IFERROR(VLOOKUP($B6,RD[#All],BE$2,0)/BE$1,"")</f>
        <v>3.0267618743503166</v>
      </c>
      <c r="BF6" s="168">
        <f>IFERROR(VLOOKUP($B6,RD[#All],BF$2,0)/BF$1,"")</f>
        <v>3.0335935429260328</v>
      </c>
      <c r="BG6" s="168">
        <f>IFERROR(VLOOKUP($B6,RD[#All],BG$2,0)/BG$1,"")</f>
        <v>3.0836760518823159</v>
      </c>
      <c r="BH6" s="168">
        <f>IFERROR(VLOOKUP($B6,RD[#All],BH$2,0)/BH$1,"")</f>
        <v>2.9264329469960599</v>
      </c>
      <c r="BI6" s="168">
        <f>IFERROR(VLOOKUP($B6,RD[#All],BI$2,0)/BI$1,"")</f>
        <v>3.0627883337242938</v>
      </c>
      <c r="BJ6" s="168">
        <f>IFERROR(VLOOKUP($B6,RD[#All],BJ$2,0)/BJ$1,"")</f>
        <v>3.0710391518697042</v>
      </c>
      <c r="BK6" s="168">
        <f>IFERROR(VLOOKUP($B6,RD[#All],BK$2,0)/BK$1,"")</f>
        <v>3.0789071695089274</v>
      </c>
      <c r="BL6" s="168">
        <f>IFERROR(VLOOKUP($B6,RD[#All],BL$2,0)/BL$1,"")</f>
        <v>3.0581341012137058</v>
      </c>
      <c r="BM6" s="168">
        <f>IFERROR(VLOOKUP($B6,RD[#All],BM$2,0)/BM$1,"")</f>
        <v>2.9648915044733122</v>
      </c>
      <c r="BN6" s="168">
        <f>IFERROR(VLOOKUP($B6,RD[#All],BN$2,0)/BN$1,"")</f>
        <v>2.9847955773135979</v>
      </c>
      <c r="BO6" s="168">
        <f>IFERROR(VLOOKUP($B6,RD[#All],BO$2,0)/BO$1,"")</f>
        <v>2.7964183046091633</v>
      </c>
      <c r="BP6" s="168">
        <f>IFERROR(VLOOKUP($B6,RD[#All],BP$2,0)/BP$1,"")</f>
        <v>3.0506779500163446</v>
      </c>
      <c r="BQ6" s="168">
        <f>IFERROR(VLOOKUP($B6,RD[#All],BQ$2,0)/BQ$1,"")</f>
        <v>2.901153871806843</v>
      </c>
      <c r="BR6" s="168">
        <f>IFERROR(VLOOKUP($B6,RD[#All],BR$2,0)/BR$1,"")</f>
        <v>2.2440630317378116</v>
      </c>
      <c r="BS6" s="168">
        <f>IFERROR(VLOOKUP($B6,RD[#All],BS$2,0)/BS$1,"")</f>
        <v>2.840137213475999</v>
      </c>
      <c r="BT6" s="168">
        <f>IFERROR(VLOOKUP($B6,RD[#All],BT$2,0)/BT$1,"")</f>
        <v>2.7542687453600592</v>
      </c>
      <c r="BU6" s="168">
        <f>IFERROR(VLOOKUP($B6,RD[#All],BU$2,0)/BU$1,"")</f>
        <v>0.99506008995060091</v>
      </c>
      <c r="BV6" s="168">
        <f>IFERROR(VLOOKUP($B6,RD[#All],BV$2,0)/BV$1,"")</f>
        <v>2.3036842105263156</v>
      </c>
      <c r="BW6" s="168">
        <f>IFERROR(VLOOKUP($B6,RD[#All],BW$2,0)/BW$1,"")</f>
        <v>3.0208626094476267</v>
      </c>
      <c r="BX6" s="168">
        <f>IFERROR(VLOOKUP($B6,RD[#All],BX$2,0)/BX$1,"")</f>
        <v>3.0037947533410327</v>
      </c>
      <c r="BY6" s="168">
        <f>AVERAGEIF(Inv_SY_B[[#This Row],[IS1Inv1M1]:[IS4Inv4M2]],"&gt;="&amp;0.1,Inv_SY_B[[#This Row],[IS1Inv1M1]:[IS4Inv4M2]])</f>
        <v>2.9524989212423489</v>
      </c>
      <c r="BZ6" s="168">
        <f>AVERAGEIF(Inv_SY_B[[#This Row],[IS5Inv1M1]:[IS9Inv2M2]],"&gt;="&amp;0.1,Inv_SY_B[[#This Row],[IS5Inv1M1]:[IS9Inv2M2]])</f>
        <v>2.9052143546825087</v>
      </c>
      <c r="CA6" s="168">
        <f>AVERAGEIF(Inv_SY_B[[#This Row],[IS10Inv1M1]:[IS14Inv2M4]],"&gt;="&amp;0.1,Inv_SY_B[[#This Row],[IS10Inv1M1]:[IS14Inv2M4]])</f>
        <v>2.8530792742275475</v>
      </c>
    </row>
    <row r="7" spans="2:79">
      <c r="B7" s="173">
        <f t="shared" si="32"/>
        <v>45840</v>
      </c>
      <c r="C7" s="168">
        <f>IFERROR(VLOOKUP($B7,RD[#All],C$2,0)/C$1,"")</f>
        <v>3.4388791615637362</v>
      </c>
      <c r="D7" s="168">
        <f>IFERROR(VLOOKUP($B7,RD[#All],D$2,0)/D$1,"")</f>
        <v>3.4421993290755841</v>
      </c>
      <c r="E7" s="168">
        <f>IFERROR(VLOOKUP($B7,RD[#All],E$2,0)/E$1,"")</f>
        <v>3.407848948533942</v>
      </c>
      <c r="F7" s="168">
        <f>IFERROR(VLOOKUP($B7,RD[#All],F$2,0)/F$1,"")</f>
        <v>3.3671011384260021</v>
      </c>
      <c r="G7" s="168">
        <f>IFERROR(VLOOKUP($B7,RD[#All],G$2,0)/G$1,"")</f>
        <v>3.3913706592160153</v>
      </c>
      <c r="H7" s="168">
        <f>IFERROR(VLOOKUP($B7,RD[#All],H$2,0)/H$1,"")</f>
        <v>3.3744904407300478</v>
      </c>
      <c r="I7" s="168">
        <f>IFERROR(VLOOKUP($B7,RD[#All],I$2,0)/I$1,"")</f>
        <v>3.4443018430327625</v>
      </c>
      <c r="J7" s="168">
        <f>IFERROR(VLOOKUP($B7,RD[#All],J$2,0)/J$1,"")</f>
        <v>3.4424760097015712</v>
      </c>
      <c r="K7" s="168">
        <f>IFERROR(VLOOKUP($B7,RD[#All],K$2,0)/K$1,"")</f>
        <v>3.3923331755797443</v>
      </c>
      <c r="L7" s="168">
        <f>IFERROR(VLOOKUP($B7,RD[#All],L$2,0)/L$1,"")</f>
        <v>3.446064906057023</v>
      </c>
      <c r="M7" s="168">
        <f>IFERROR(VLOOKUP($B7,RD[#All],M$2,0)/M$1,"")</f>
        <v>3.533140642448926</v>
      </c>
      <c r="N7" s="168">
        <f>IFERROR(VLOOKUP($B7,RD[#All],N$2,0)/N$1,"")</f>
        <v>3.4377750949470562</v>
      </c>
      <c r="O7" s="168">
        <f>IFERROR(VLOOKUP($B7,RD[#All],O$2,0)/O$1,"")</f>
        <v>3.6296692049719028</v>
      </c>
      <c r="P7" s="168">
        <f>IFERROR(VLOOKUP($B7,RD[#All],P$2,0)/P$1,"")</f>
        <v>3.332212717741835</v>
      </c>
      <c r="Q7" s="168">
        <f>IFERROR(VLOOKUP($B7,RD[#All],Q$2,0)/Q$1,"")</f>
        <v>3.4178363764305031</v>
      </c>
      <c r="R7" s="168">
        <f>IFERROR(VLOOKUP($B7,RD[#All],R$2,0)/R$1,"")</f>
        <v>3.4299949148069233</v>
      </c>
      <c r="S7" s="168">
        <f>IFERROR(VLOOKUP($B7,RD[#All],S$2,0)/S$1,"")</f>
        <v>3.4248648845211531</v>
      </c>
      <c r="T7" s="168">
        <f>IFERROR(VLOOKUP($B7,RD[#All],T$2,0)/T$1,"")</f>
        <v>3.4321215581008371</v>
      </c>
      <c r="U7" s="168">
        <f>IFERROR(VLOOKUP($B7,RD[#All],U$2,0)/U$1,"")</f>
        <v>3.4347347733278162</v>
      </c>
      <c r="V7" s="168">
        <f>IFERROR(VLOOKUP($B7,RD[#All],V$2,0)/V$1,"")</f>
        <v>3.457121066478932</v>
      </c>
      <c r="W7" s="168">
        <f>IFERROR(VLOOKUP($B7,RD[#All],W$2,0)/W$1,"")</f>
        <v>3.3657812242204255</v>
      </c>
      <c r="X7" s="168">
        <f>IFERROR(VLOOKUP($B7,RD[#All],X$2,0)/X$1,"")</f>
        <v>3.3444444067670163</v>
      </c>
      <c r="Y7" s="168">
        <f>IFERROR(VLOOKUP($B7,RD[#All],Y$2,0)/Y$1,"")</f>
        <v>3.4456624898559891</v>
      </c>
      <c r="Z7" s="168">
        <f>IFERROR(VLOOKUP($B7,RD[#All],Z$2,0)/Z$1,"")</f>
        <v>3.4713370078457424</v>
      </c>
      <c r="AA7" s="168">
        <f>IFERROR(VLOOKUP($B7,RD[#All],AA$2,0)/AA$1,"")</f>
        <v>3.4247617302052782</v>
      </c>
      <c r="AB7" s="168">
        <f>IFERROR(VLOOKUP($B7,RD[#All],AB$2,0)/AB$1,"")</f>
        <v>3.4220616964245147</v>
      </c>
      <c r="AC7" s="168">
        <f>IFERROR(VLOOKUP($B7,RD[#All],AC$2,0)/AC$1,"")</f>
        <v>3.4144854178415378</v>
      </c>
      <c r="AD7" s="168">
        <f>IFERROR(VLOOKUP($B7,RD[#All],AD$2,0)/AD$1,"")</f>
        <v>3.3912866633524645</v>
      </c>
      <c r="AE7" s="168">
        <f>IFERROR(VLOOKUP($B7,RD[#All],AE$2,0)/AE$1,"")</f>
        <v>3.5699792612521719</v>
      </c>
      <c r="AF7" s="168">
        <f>IFERROR(VLOOKUP($B7,RD[#All],AF$2,0)/AF$1,"")</f>
        <v>3.4948959086890121</v>
      </c>
      <c r="AG7" s="168">
        <f>IFERROR(VLOOKUP($B7,RD[#All],AG$2,0)/AG$1,"")</f>
        <v>3.4627777020580619</v>
      </c>
      <c r="AH7" s="168">
        <f>IFERROR(VLOOKUP($B7,RD[#All],AH$2,0)/AH$1,"")</f>
        <v>3.4351320936712932</v>
      </c>
      <c r="AI7" s="168">
        <f>IFERROR(VLOOKUP($B7,RD[#All],AI$2,0)/AI$1,"")</f>
        <v>3.1541501976284585</v>
      </c>
      <c r="AJ7" s="168">
        <f>IFERROR(VLOOKUP($B7,RD[#All],AJ$2,0)/AJ$1,"")</f>
        <v>3.1084534127130476</v>
      </c>
      <c r="AK7" s="168">
        <f>IFERROR(VLOOKUP($B7,RD[#All],AK$2,0)/AK$1,"")</f>
        <v>3.128048456511344</v>
      </c>
      <c r="AL7" s="168">
        <f>IFERROR(VLOOKUP($B7,RD[#All],AL$2,0)/AL$1,"")</f>
        <v>2.3820668035888013</v>
      </c>
      <c r="AM7" s="168">
        <f>IFERROR(VLOOKUP($B7,RD[#All],AM$2,0)/AM$1,"")</f>
        <v>3.5102680945297409</v>
      </c>
      <c r="AN7" s="168">
        <f>IFERROR(VLOOKUP($B7,RD[#All],AN$2,0)/AN$1,"")</f>
        <v>3.5302590750301208</v>
      </c>
      <c r="AO7" s="168">
        <f>IFERROR(VLOOKUP($B7,RD[#All],AO$2,0)/AO$1,"")</f>
        <v>2.607577725874521</v>
      </c>
      <c r="AP7" s="168">
        <f>IFERROR(VLOOKUP($B7,RD[#All],AP$2,0)/AP$1,"")</f>
        <v>2.6268282996897021</v>
      </c>
      <c r="AQ7" s="168">
        <f>IFERROR(VLOOKUP($B7,RD[#All],AQ$2,0)/AQ$1,"")</f>
        <v>2.5929849960515923</v>
      </c>
      <c r="AR7" s="168">
        <f>IFERROR(VLOOKUP($B7,RD[#All],AR$2,0)/AR$1,"")</f>
        <v>2.623220499841822</v>
      </c>
      <c r="AS7" s="168">
        <f>IFERROR(VLOOKUP($B7,RD[#All],AS$2,0)/AS$1,"")</f>
        <v>3.4863322670978474</v>
      </c>
      <c r="AT7" s="168">
        <f>IFERROR(VLOOKUP($B7,RD[#All],AT$2,0)/AT$1,"")</f>
        <v>3.4808824453709324</v>
      </c>
      <c r="AU7" s="168">
        <f>IFERROR(VLOOKUP($B7,RD[#All],AU$2,0)/AU$1,"")</f>
        <v>3.4872833762396636</v>
      </c>
      <c r="AV7" s="168">
        <f>IFERROR(VLOOKUP($B7,RD[#All],AV$2,0)/AV$1,"")</f>
        <v>3.4605995646569427</v>
      </c>
      <c r="AW7" s="168">
        <f>IFERROR(VLOOKUP($B7,RD[#All],AW$2,0)/AW$1,"")</f>
        <v>3.4432048681541585</v>
      </c>
      <c r="AX7" s="168">
        <f>IFERROR(VLOOKUP($B7,RD[#All],AX$2,0)/AX$1,"")</f>
        <v>3.4735991379310347</v>
      </c>
      <c r="AY7" s="168">
        <f>IFERROR(VLOOKUP($B7,RD[#All],AY$2,0)/AY$1,"")</f>
        <v>3.3858541780305984</v>
      </c>
      <c r="AZ7" s="168">
        <f>IFERROR(VLOOKUP($B7,RD[#All],AZ$2,0)/AZ$1,"")</f>
        <v>3.5340782687834968</v>
      </c>
      <c r="BA7" s="168">
        <f>IFERROR(VLOOKUP($B7,RD[#All],BA$2,0)/BA$1,"")</f>
        <v>3.5272092737763279</v>
      </c>
      <c r="BB7" s="168">
        <f>IFERROR(VLOOKUP($B7,RD[#All],BB$2,0)/BB$1,"")</f>
        <v>3.6532604104137487</v>
      </c>
      <c r="BC7" s="168">
        <f>IFERROR(VLOOKUP($B7,RD[#All],BC$2,0)/BC$1,"")</f>
        <v>3.5962830273175102</v>
      </c>
      <c r="BD7" s="168">
        <f>IFERROR(VLOOKUP($B7,RD[#All],BD$2,0)/BD$1,"")</f>
        <v>3.6853636734185025</v>
      </c>
      <c r="BE7" s="168">
        <f>IFERROR(VLOOKUP($B7,RD[#All],BE$2,0)/BE$1,"")</f>
        <v>3.7732951959072478</v>
      </c>
      <c r="BF7" s="168">
        <f>IFERROR(VLOOKUP($B7,RD[#All],BF$2,0)/BF$1,"")</f>
        <v>3.8085792214232579</v>
      </c>
      <c r="BG7" s="168">
        <f>IFERROR(VLOOKUP($B7,RD[#All],BG$2,0)/BG$1,"")</f>
        <v>3.8940496390670387</v>
      </c>
      <c r="BH7" s="168">
        <f>IFERROR(VLOOKUP($B7,RD[#All],BH$2,0)/BH$1,"")</f>
        <v>3.8620545857179835</v>
      </c>
      <c r="BI7" s="168">
        <f>IFERROR(VLOOKUP($B7,RD[#All],BI$2,0)/BI$1,"")</f>
        <v>3.8115437745979617</v>
      </c>
      <c r="BJ7" s="168">
        <f>IFERROR(VLOOKUP($B7,RD[#All],BJ$2,0)/BJ$1,"")</f>
        <v>3.8842884412035317</v>
      </c>
      <c r="BK7" s="168">
        <f>IFERROR(VLOOKUP($B7,RD[#All],BK$2,0)/BK$1,"")</f>
        <v>3.8738011168707587</v>
      </c>
      <c r="BL7" s="168">
        <f>IFERROR(VLOOKUP($B7,RD[#All],BL$2,0)/BL$1,"")</f>
        <v>3.8302453933492466</v>
      </c>
      <c r="BM7" s="168">
        <f>IFERROR(VLOOKUP($B7,RD[#All],BM$2,0)/BM$1,"")</f>
        <v>3.7505311022518732</v>
      </c>
      <c r="BN7" s="168">
        <f>IFERROR(VLOOKUP($B7,RD[#All],BN$2,0)/BN$1,"")</f>
        <v>3.7817765530889198</v>
      </c>
      <c r="BO7" s="168">
        <f>IFERROR(VLOOKUP($B7,RD[#All],BO$2,0)/BO$1,"")</f>
        <v>3.5485193183224899</v>
      </c>
      <c r="BP7" s="168">
        <f>IFERROR(VLOOKUP($B7,RD[#All],BP$2,0)/BP$1,"")</f>
        <v>3.8380445647172956</v>
      </c>
      <c r="BQ7" s="168">
        <f>IFERROR(VLOOKUP($B7,RD[#All],BQ$2,0)/BQ$1,"")</f>
        <v>3.6529713866471019</v>
      </c>
      <c r="BR7" s="168">
        <f>IFERROR(VLOOKUP($B7,RD[#All],BR$2,0)/BR$1,"")</f>
        <v>3.0869275726862471</v>
      </c>
      <c r="BS7" s="168">
        <f>IFERROR(VLOOKUP($B7,RD[#All],BS$2,0)/BS$1,"")</f>
        <v>3.6320679706490377</v>
      </c>
      <c r="BT7" s="168">
        <f>IFERROR(VLOOKUP($B7,RD[#All],BT$2,0)/BT$1,"")</f>
        <v>3.6355537558210163</v>
      </c>
      <c r="BU7" s="168">
        <f>IFERROR(VLOOKUP($B7,RD[#All],BU$2,0)/BU$1,"")</f>
        <v>1.7212268672122688</v>
      </c>
      <c r="BV7" s="168">
        <f>IFERROR(VLOOKUP($B7,RD[#All],BV$2,0)/BV$1,"")</f>
        <v>3.7526315789473683</v>
      </c>
      <c r="BW7" s="168">
        <f>IFERROR(VLOOKUP($B7,RD[#All],BW$2,0)/BW$1,"")</f>
        <v>3.816884661117717</v>
      </c>
      <c r="BX7" s="168">
        <f>IFERROR(VLOOKUP($B7,RD[#All],BX$2,0)/BX$1,"")</f>
        <v>3.7865038772479789</v>
      </c>
      <c r="BY7" s="168">
        <f>AVERAGEIF(Inv_SY_B[[#This Row],[IS1Inv1M1]:[IS4Inv4M2]],"&gt;="&amp;0.1,Inv_SY_B[[#This Row],[IS1Inv1M1]:[IS4Inv4M2]])</f>
        <v>3.4270127672216177</v>
      </c>
      <c r="BZ7" s="168">
        <f>AVERAGEIF(Inv_SY_B[[#This Row],[IS5Inv1M1]:[IS9Inv2M2]],"&gt;="&amp;0.1,Inv_SY_B[[#This Row],[IS5Inv1M1]:[IS9Inv2M2]])</f>
        <v>3.1745411211386156</v>
      </c>
      <c r="CA7" s="168">
        <f>AVERAGEIF(Inv_SY_B[[#This Row],[IS10Inv1M1]:[IS14Inv2M4]],"&gt;="&amp;0.1,Inv_SY_B[[#This Row],[IS10Inv1M1]:[IS14Inv2M4]])</f>
        <v>3.6085839076668473</v>
      </c>
    </row>
    <row r="8" spans="2:79">
      <c r="B8" s="173">
        <f t="shared" si="32"/>
        <v>45841</v>
      </c>
      <c r="C8" s="168">
        <f>IFERROR(VLOOKUP($B8,RD[#All],C$2,0)/C$1,"")</f>
        <v>3.3999768214720869</v>
      </c>
      <c r="D8" s="168">
        <f>IFERROR(VLOOKUP($B8,RD[#All],D$2,0)/D$1,"")</f>
        <v>3.4088097199470027</v>
      </c>
      <c r="E8" s="168">
        <f>IFERROR(VLOOKUP($B8,RD[#All],E$2,0)/E$1,"")</f>
        <v>3.3706188914234336</v>
      </c>
      <c r="F8" s="168">
        <f>IFERROR(VLOOKUP($B8,RD[#All],F$2,0)/F$1,"")</f>
        <v>3.3195842270252434</v>
      </c>
      <c r="G8" s="168">
        <f>IFERROR(VLOOKUP($B8,RD[#All],G$2,0)/G$1,"")</f>
        <v>3.3423475959474267</v>
      </c>
      <c r="H8" s="168">
        <f>IFERROR(VLOOKUP($B8,RD[#All],H$2,0)/H$1,"")</f>
        <v>3.3283358320839578</v>
      </c>
      <c r="I8" s="168">
        <f>IFERROR(VLOOKUP($B8,RD[#All],I$2,0)/I$1,"")</f>
        <v>3.4000664508101135</v>
      </c>
      <c r="J8" s="168">
        <f>IFERROR(VLOOKUP($B8,RD[#All],J$2,0)/J$1,"")</f>
        <v>3.3694798879866896</v>
      </c>
      <c r="K8" s="168">
        <f>IFERROR(VLOOKUP($B8,RD[#All],K$2,0)/K$1,"")</f>
        <v>3.3841299889572487</v>
      </c>
      <c r="L8" s="168">
        <f>IFERROR(VLOOKUP($B8,RD[#All],L$2,0)/L$1,"")</f>
        <v>3.4229404808829322</v>
      </c>
      <c r="M8" s="168">
        <f>IFERROR(VLOOKUP($B8,RD[#All],M$2,0)/M$1,"")</f>
        <v>3.5246666228732844</v>
      </c>
      <c r="N8" s="168">
        <f>IFERROR(VLOOKUP($B8,RD[#All],N$2,0)/N$1,"")</f>
        <v>3.43016675469705</v>
      </c>
      <c r="O8" s="168">
        <f>IFERROR(VLOOKUP($B8,RD[#All],O$2,0)/O$1,"")</f>
        <v>3.6135124522860838</v>
      </c>
      <c r="P8" s="168">
        <f>IFERROR(VLOOKUP($B8,RD[#All],P$2,0)/P$1,"")</f>
        <v>3.3518234905930546</v>
      </c>
      <c r="Q8" s="168">
        <f>IFERROR(VLOOKUP($B8,RD[#All],Q$2,0)/Q$1,"")</f>
        <v>3.4181450069750507</v>
      </c>
      <c r="R8" s="168">
        <f>IFERROR(VLOOKUP($B8,RD[#All],R$2,0)/R$1,"")</f>
        <v>3.4257465256544766</v>
      </c>
      <c r="S8" s="168">
        <f>IFERROR(VLOOKUP($B8,RD[#All],S$2,0)/S$1,"")</f>
        <v>3.4190011681977484</v>
      </c>
      <c r="T8" s="168">
        <f>IFERROR(VLOOKUP($B8,RD[#All],T$2,0)/T$1,"")</f>
        <v>3.4424052503512246</v>
      </c>
      <c r="U8" s="168">
        <f>IFERROR(VLOOKUP($B8,RD[#All],U$2,0)/U$1,"")</f>
        <v>3.4310673951270885</v>
      </c>
      <c r="V8" s="168">
        <f>IFERROR(VLOOKUP($B8,RD[#All],V$2,0)/V$1,"")</f>
        <v>3.4584749242967843</v>
      </c>
      <c r="W8" s="168">
        <f>IFERROR(VLOOKUP($B8,RD[#All],W$2,0)/W$1,"")</f>
        <v>3.4550816696914701</v>
      </c>
      <c r="X8" s="168">
        <f>IFERROR(VLOOKUP($B8,RD[#All],X$2,0)/X$1,"")</f>
        <v>3.4414261057100513</v>
      </c>
      <c r="Y8" s="168">
        <f>IFERROR(VLOOKUP($B8,RD[#All],Y$2,0)/Y$1,"")</f>
        <v>3.5552865768950381</v>
      </c>
      <c r="Z8" s="168">
        <f>IFERROR(VLOOKUP($B8,RD[#All],Z$2,0)/Z$1,"")</f>
        <v>3.5533402754088943</v>
      </c>
      <c r="AA8" s="168">
        <f>IFERROR(VLOOKUP($B8,RD[#All],AA$2,0)/AA$1,"")</f>
        <v>3.4953262463343107</v>
      </c>
      <c r="AB8" s="168">
        <f>IFERROR(VLOOKUP($B8,RD[#All],AB$2,0)/AB$1,"")</f>
        <v>3.4738994139293982</v>
      </c>
      <c r="AC8" s="168">
        <f>IFERROR(VLOOKUP($B8,RD[#All],AC$2,0)/AC$1,"")</f>
        <v>3.4887602070524371</v>
      </c>
      <c r="AD8" s="168">
        <f>IFERROR(VLOOKUP($B8,RD[#All],AD$2,0)/AD$1,"")</f>
        <v>3.4578569168888684</v>
      </c>
      <c r="AE8" s="168">
        <f>IFERROR(VLOOKUP($B8,RD[#All],AE$2,0)/AE$1,"")</f>
        <v>3.7621209573454406</v>
      </c>
      <c r="AF8" s="168">
        <f>IFERROR(VLOOKUP($B8,RD[#All],AF$2,0)/AF$1,"")</f>
        <v>3.69798783591887</v>
      </c>
      <c r="AG8" s="168">
        <f>IFERROR(VLOOKUP($B8,RD[#All],AG$2,0)/AG$1,"")</f>
        <v>3.6724001635545864</v>
      </c>
      <c r="AH8" s="168">
        <f>IFERROR(VLOOKUP($B8,RD[#All],AH$2,0)/AH$1,"")</f>
        <v>3.6339424468142116</v>
      </c>
      <c r="AI8" s="168">
        <f>IFERROR(VLOOKUP($B8,RD[#All],AI$2,0)/AI$1,"")</f>
        <v>3.708763799918223</v>
      </c>
      <c r="AJ8" s="168">
        <f>IFERROR(VLOOKUP($B8,RD[#All],AJ$2,0)/AJ$1,"")</f>
        <v>3.6868891757329889</v>
      </c>
      <c r="AK8" s="168">
        <f>IFERROR(VLOOKUP($B8,RD[#All],AK$2,0)/AK$1,"")</f>
        <v>3.6873173582700174</v>
      </c>
      <c r="AL8" s="168">
        <f>IFERROR(VLOOKUP($B8,RD[#All],AL$2,0)/AL$1,"")</f>
        <v>3.6856556047994808</v>
      </c>
      <c r="AM8" s="168">
        <f>IFERROR(VLOOKUP($B8,RD[#All],AM$2,0)/AM$1,"")</f>
        <v>3.6765230502063044</v>
      </c>
      <c r="AN8" s="168">
        <f>IFERROR(VLOOKUP($B8,RD[#All],AN$2,0)/AN$1,"")</f>
        <v>3.7142164814528127</v>
      </c>
      <c r="AO8" s="168">
        <f>IFERROR(VLOOKUP($B8,RD[#All],AO$2,0)/AO$1,"")</f>
        <v>3.6850040722367683</v>
      </c>
      <c r="AP8" s="168">
        <f>IFERROR(VLOOKUP($B8,RD[#All],AP$2,0)/AP$1,"")</f>
        <v>3.67571533382245</v>
      </c>
      <c r="AQ8" s="168">
        <f>IFERROR(VLOOKUP($B8,RD[#All],AQ$2,0)/AQ$1,"")</f>
        <v>3.6340484337983678</v>
      </c>
      <c r="AR8" s="168">
        <f>IFERROR(VLOOKUP($B8,RD[#All],AR$2,0)/AR$1,"")</f>
        <v>3.6542066967481976</v>
      </c>
      <c r="AS8" s="168">
        <f>IFERROR(VLOOKUP($B8,RD[#All],AS$2,0)/AS$1,"")</f>
        <v>3.6860815260056001</v>
      </c>
      <c r="AT8" s="168">
        <f>IFERROR(VLOOKUP($B8,RD[#All],AT$2,0)/AT$1,"")</f>
        <v>3.7150698707339047</v>
      </c>
      <c r="AU8" s="168">
        <f>IFERROR(VLOOKUP($B8,RD[#All],AU$2,0)/AU$1,"")</f>
        <v>3.7638768360958816</v>
      </c>
      <c r="AV8" s="168">
        <f>IFERROR(VLOOKUP($B8,RD[#All],AV$2,0)/AV$1,"")</f>
        <v>3.7037211915745529</v>
      </c>
      <c r="AW8" s="168">
        <f>IFERROR(VLOOKUP($B8,RD[#All],AW$2,0)/AW$1,"")</f>
        <v>3.5029503964595246</v>
      </c>
      <c r="AX8" s="168">
        <f>IFERROR(VLOOKUP($B8,RD[#All],AX$2,0)/AX$1,"")</f>
        <v>3.5676430250783699</v>
      </c>
      <c r="AY8" s="168">
        <f>IFERROR(VLOOKUP($B8,RD[#All],AY$2,0)/AY$1,"")</f>
        <v>3.5308969064131537</v>
      </c>
      <c r="AZ8" s="168">
        <f>IFERROR(VLOOKUP($B8,RD[#All],AZ$2,0)/AZ$1,"")</f>
        <v>3.2765699261806045</v>
      </c>
      <c r="BA8" s="168">
        <f>IFERROR(VLOOKUP($B8,RD[#All],BA$2,0)/BA$1,"")</f>
        <v>3.5441328633310536</v>
      </c>
      <c r="BB8" s="168">
        <f>IFERROR(VLOOKUP($B8,RD[#All],BB$2,0)/BB$1,"")</f>
        <v>3.6547722270392851</v>
      </c>
      <c r="BC8" s="168">
        <f>IFERROR(VLOOKUP($B8,RD[#All],BC$2,0)/BC$1,"")</f>
        <v>3.6271831616659203</v>
      </c>
      <c r="BD8" s="168">
        <f>IFERROR(VLOOKUP($B8,RD[#All],BD$2,0)/BD$1,"")</f>
        <v>3.6955758659806666</v>
      </c>
      <c r="BE8" s="168">
        <f>IFERROR(VLOOKUP($B8,RD[#All],BE$2,0)/BE$1,"")</f>
        <v>3.7128958399858685</v>
      </c>
      <c r="BF8" s="168">
        <f>IFERROR(VLOOKUP($B8,RD[#All],BF$2,0)/BF$1,"")</f>
        <v>3.7359029386868676</v>
      </c>
      <c r="BG8" s="168">
        <f>IFERROR(VLOOKUP($B8,RD[#All],BG$2,0)/BG$1,"")</f>
        <v>3.8066204595783844</v>
      </c>
      <c r="BH8" s="168">
        <f>IFERROR(VLOOKUP($B8,RD[#All],BH$2,0)/BH$1,"")</f>
        <v>3.7749849012107792</v>
      </c>
      <c r="BI8" s="168">
        <f>IFERROR(VLOOKUP($B8,RD[#All],BI$2,0)/BI$1,"")</f>
        <v>3.7660619803476942</v>
      </c>
      <c r="BJ8" s="168">
        <f>IFERROR(VLOOKUP($B8,RD[#All],BJ$2,0)/BJ$1,"")</f>
        <v>3.8194701932188027</v>
      </c>
      <c r="BK8" s="168">
        <f>IFERROR(VLOOKUP($B8,RD[#All],BK$2,0)/BK$1,"")</f>
        <v>3.8029324117897478</v>
      </c>
      <c r="BL8" s="168">
        <f>IFERROR(VLOOKUP($B8,RD[#All],BL$2,0)/BL$1,"")</f>
        <v>3.7636873413405074</v>
      </c>
      <c r="BM8" s="168">
        <f>IFERROR(VLOOKUP($B8,RD[#All],BM$2,0)/BM$1,"")</f>
        <v>3.6751974495038522</v>
      </c>
      <c r="BN8" s="168">
        <f>IFERROR(VLOOKUP($B8,RD[#All],BN$2,0)/BN$1,"")</f>
        <v>3.7501941540921933</v>
      </c>
      <c r="BO8" s="168">
        <f>IFERROR(VLOOKUP($B8,RD[#All],BO$2,0)/BO$1,"")</f>
        <v>3.4700081152084508</v>
      </c>
      <c r="BP8" s="168">
        <f>IFERROR(VLOOKUP($B8,RD[#All],BP$2,0)/BP$1,"")</f>
        <v>3.7663951462652672</v>
      </c>
      <c r="BQ8" s="168">
        <f>IFERROR(VLOOKUP($B8,RD[#All],BQ$2,0)/BQ$1,"")</f>
        <v>3.6891215900753687</v>
      </c>
      <c r="BR8" s="168">
        <f>IFERROR(VLOOKUP($B8,RD[#All],BR$2,0)/BR$1,"")</f>
        <v>3.7977361840645107</v>
      </c>
      <c r="BS8" s="168">
        <f>IFERROR(VLOOKUP($B8,RD[#All],BS$2,0)/BS$1,"")</f>
        <v>3.660616249043974</v>
      </c>
      <c r="BT8" s="168">
        <f>IFERROR(VLOOKUP($B8,RD[#All],BT$2,0)/BT$1,"")</f>
        <v>3.6751029223189575</v>
      </c>
      <c r="BU8" s="168">
        <f>IFERROR(VLOOKUP($B8,RD[#All],BU$2,0)/BU$1,"")</f>
        <v>1.8139792081397923</v>
      </c>
      <c r="BV8" s="168">
        <f>IFERROR(VLOOKUP($B8,RD[#All],BV$2,0)/BV$1,"")</f>
        <v>3.803684210526316</v>
      </c>
      <c r="BW8" s="168">
        <f>IFERROR(VLOOKUP($B8,RD[#All],BW$2,0)/BW$1,"")</f>
        <v>3.7884913342701689</v>
      </c>
      <c r="BX8" s="168">
        <f>IFERROR(VLOOKUP($B8,RD[#All],BX$2,0)/BX$1,"")</f>
        <v>3.7342352747071441</v>
      </c>
      <c r="BY8" s="168">
        <f>AVERAGEIF(Inv_SY_B[[#This Row],[IS1Inv1M1]:[IS4Inv4M2]],"&gt;="&amp;0.1,Inv_SY_B[[#This Row],[IS1Inv1M1]:[IS4Inv4M2]])</f>
        <v>3.4350813178392303</v>
      </c>
      <c r="BZ8" s="168">
        <f>AVERAGEIF(Inv_SY_B[[#This Row],[IS5Inv1M1]:[IS9Inv2M2]],"&gt;="&amp;0.1,Inv_SY_B[[#This Row],[IS5Inv1M1]:[IS9Inv2M2]])</f>
        <v>3.6913078241682595</v>
      </c>
      <c r="CA8" s="168">
        <f>AVERAGEIF(Inv_SY_B[[#This Row],[IS10Inv1M1]:[IS14Inv2M4]],"&gt;="&amp;0.1,Inv_SY_B[[#This Row],[IS10Inv1M1]:[IS14Inv2M4]])</f>
        <v>3.6145372241615439</v>
      </c>
    </row>
    <row r="9" spans="2:79">
      <c r="B9" s="173">
        <f t="shared" si="32"/>
        <v>45842</v>
      </c>
      <c r="C9" s="168">
        <f>IFERROR(VLOOKUP($B9,RD[#All],C$2,0)/C$1,"")</f>
        <v>2.8401840500405626</v>
      </c>
      <c r="D9" s="168">
        <f>IFERROR(VLOOKUP($B9,RD[#All],D$2,0)/D$1,"")</f>
        <v>2.8158779180670361</v>
      </c>
      <c r="E9" s="168">
        <f>IFERROR(VLOOKUP($B9,RD[#All],E$2,0)/E$1,"")</f>
        <v>2.7897234386186915</v>
      </c>
      <c r="F9" s="168">
        <f>IFERROR(VLOOKUP($B9,RD[#All],F$2,0)/F$1,"")</f>
        <v>2.8115492492987952</v>
      </c>
      <c r="G9" s="168">
        <f>IFERROR(VLOOKUP($B9,RD[#All],G$2,0)/G$1,"")</f>
        <v>2.8428890925286288</v>
      </c>
      <c r="H9" s="168">
        <f>IFERROR(VLOOKUP($B9,RD[#All],H$2,0)/H$1,"")</f>
        <v>2.8294943437372222</v>
      </c>
      <c r="I9" s="168">
        <f>IFERROR(VLOOKUP($B9,RD[#All],I$2,0)/I$1,"")</f>
        <v>2.871196179729897</v>
      </c>
      <c r="J9" s="168">
        <f>IFERROR(VLOOKUP($B9,RD[#All],J$2,0)/J$1,"")</f>
        <v>2.8600888139008984</v>
      </c>
      <c r="K9" s="168">
        <f>IFERROR(VLOOKUP($B9,RD[#All],K$2,0)/K$1,"")</f>
        <v>2.8173528947783564</v>
      </c>
      <c r="L9" s="168">
        <f>IFERROR(VLOOKUP($B9,RD[#All],L$2,0)/L$1,"")</f>
        <v>2.8789252397845226</v>
      </c>
      <c r="M9" s="168">
        <f>IFERROR(VLOOKUP($B9,RD[#All],M$2,0)/M$1,"")</f>
        <v>2.9362149379228799</v>
      </c>
      <c r="N9" s="168">
        <f>IFERROR(VLOOKUP($B9,RD[#All],N$2,0)/N$1,"")</f>
        <v>2.8440101612213589</v>
      </c>
      <c r="O9" s="168">
        <f>IFERROR(VLOOKUP($B9,RD[#All],O$2,0)/O$1,"")</f>
        <v>2.9858451397784402</v>
      </c>
      <c r="P9" s="168">
        <f>IFERROR(VLOOKUP($B9,RD[#All],P$2,0)/P$1,"")</f>
        <v>2.7618816380909692</v>
      </c>
      <c r="Q9" s="168">
        <f>IFERROR(VLOOKUP($B9,RD[#All],Q$2,0)/Q$1,"")</f>
        <v>2.8331666728392775</v>
      </c>
      <c r="R9" s="168">
        <f>IFERROR(VLOOKUP($B9,RD[#All],R$2,0)/R$1,"")</f>
        <v>2.8186774635829361</v>
      </c>
      <c r="S9" s="168">
        <f>IFERROR(VLOOKUP($B9,RD[#All],S$2,0)/S$1,"")</f>
        <v>2.80817465692714</v>
      </c>
      <c r="T9" s="168">
        <f>IFERROR(VLOOKUP($B9,RD[#All],T$2,0)/T$1,"")</f>
        <v>2.8345337722121684</v>
      </c>
      <c r="U9" s="168">
        <f>IFERROR(VLOOKUP($B9,RD[#All],U$2,0)/U$1,"")</f>
        <v>2.8249626209529541</v>
      </c>
      <c r="V9" s="168">
        <f>IFERROR(VLOOKUP($B9,RD[#All],V$2,0)/V$1,"")</f>
        <v>2.8382275293448682</v>
      </c>
      <c r="W9" s="168">
        <f>IFERROR(VLOOKUP($B9,RD[#All],W$2,0)/W$1,"")</f>
        <v>2.7774294670846396</v>
      </c>
      <c r="X9" s="168">
        <f>IFERROR(VLOOKUP($B9,RD[#All],X$2,0)/X$1,"")</f>
        <v>2.7673693883710127</v>
      </c>
      <c r="Y9" s="168">
        <f>IFERROR(VLOOKUP($B9,RD[#All],Y$2,0)/Y$1,"")</f>
        <v>2.8658147990225071</v>
      </c>
      <c r="Z9" s="168">
        <f>IFERROR(VLOOKUP($B9,RD[#All],Z$2,0)/Z$1,"")</f>
        <v>2.8724034542810464</v>
      </c>
      <c r="AA9" s="168">
        <f>IFERROR(VLOOKUP($B9,RD[#All],AA$2,0)/AA$1,"")</f>
        <v>2.8380681818181817</v>
      </c>
      <c r="AB9" s="168">
        <f>IFERROR(VLOOKUP($B9,RD[#All],AB$2,0)/AB$1,"")</f>
        <v>2.8249511607832445</v>
      </c>
      <c r="AC9" s="168">
        <f>IFERROR(VLOOKUP($B9,RD[#All],AC$2,0)/AC$1,"")</f>
        <v>2.8376178883035545</v>
      </c>
      <c r="AD9" s="168">
        <f>IFERROR(VLOOKUP($B9,RD[#All],AD$2,0)/AD$1,"")</f>
        <v>2.8162425995390246</v>
      </c>
      <c r="AE9" s="168">
        <f>IFERROR(VLOOKUP($B9,RD[#All],AE$2,0)/AE$1,"")</f>
        <v>2.9338602096295054</v>
      </c>
      <c r="AF9" s="168">
        <f>IFERROR(VLOOKUP($B9,RD[#All],AF$2,0)/AF$1,"")</f>
        <v>2.9053398708571123</v>
      </c>
      <c r="AG9" s="168">
        <f>IFERROR(VLOOKUP($B9,RD[#All],AG$2,0)/AG$1,"")</f>
        <v>2.9050020444323295</v>
      </c>
      <c r="AH9" s="168">
        <f>IFERROR(VLOOKUP($B9,RD[#All],AH$2,0)/AH$1,"")</f>
        <v>2.8793205080113609</v>
      </c>
      <c r="AI9" s="168">
        <f>IFERROR(VLOOKUP($B9,RD[#All],AI$2,0)/AI$1,"")</f>
        <v>2.9082186179637453</v>
      </c>
      <c r="AJ9" s="168">
        <f>IFERROR(VLOOKUP($B9,RD[#All],AJ$2,0)/AJ$1,"")</f>
        <v>2.9108295355759859</v>
      </c>
      <c r="AK9" s="168">
        <f>IFERROR(VLOOKUP($B9,RD[#All],AK$2,0)/AK$1,"")</f>
        <v>2.8919823601296426</v>
      </c>
      <c r="AL9" s="168">
        <f>IFERROR(VLOOKUP($B9,RD[#All],AL$2,0)/AL$1,"")</f>
        <v>2.8986055561560913</v>
      </c>
      <c r="AM9" s="168">
        <f>IFERROR(VLOOKUP($B9,RD[#All],AM$2,0)/AM$1,"")</f>
        <v>2.8946535906358748</v>
      </c>
      <c r="AN9" s="168">
        <f>IFERROR(VLOOKUP($B9,RD[#All],AN$2,0)/AN$1,"")</f>
        <v>2.9123560413820027</v>
      </c>
      <c r="AO9" s="168">
        <f>IFERROR(VLOOKUP($B9,RD[#All],AO$2,0)/AO$1,"")</f>
        <v>2.9298565630321671</v>
      </c>
      <c r="AP9" s="168">
        <f>IFERROR(VLOOKUP($B9,RD[#All],AP$2,0)/AP$1,"")</f>
        <v>2.9034711611596116</v>
      </c>
      <c r="AQ9" s="168">
        <f>IFERROR(VLOOKUP($B9,RD[#All],AQ$2,0)/AQ$1,"")</f>
        <v>2.9047775730455383</v>
      </c>
      <c r="AR9" s="168">
        <f>IFERROR(VLOOKUP($B9,RD[#All],AR$2,0)/AR$1,"")</f>
        <v>2.8871609583909157</v>
      </c>
      <c r="AS9" s="168">
        <f>IFERROR(VLOOKUP($B9,RD[#All],AS$2,0)/AS$1,"")</f>
        <v>2.8835225608398654</v>
      </c>
      <c r="AT9" s="168">
        <f>IFERROR(VLOOKUP($B9,RD[#All],AT$2,0)/AT$1,"")</f>
        <v>2.9236764366973245</v>
      </c>
      <c r="AU9" s="168">
        <f>IFERROR(VLOOKUP($B9,RD[#All],AU$2,0)/AU$1,"")</f>
        <v>2.9185398883758182</v>
      </c>
      <c r="AV9" s="168">
        <f>IFERROR(VLOOKUP($B9,RD[#All],AV$2,0)/AV$1,"")</f>
        <v>2.900461312545151</v>
      </c>
      <c r="AW9" s="168">
        <f>IFERROR(VLOOKUP($B9,RD[#All],AW$2,0)/AW$1,"")</f>
        <v>2.9026369168357</v>
      </c>
      <c r="AX9" s="168">
        <f>IFERROR(VLOOKUP($B9,RD[#All],AX$2,0)/AX$1,"")</f>
        <v>2.9500881661442007</v>
      </c>
      <c r="AY9" s="168">
        <f>IFERROR(VLOOKUP($B9,RD[#All],AY$2,0)/AY$1,"")</f>
        <v>2.7838645159614535</v>
      </c>
      <c r="AZ9" s="168">
        <f>IFERROR(VLOOKUP($B9,RD[#All],AZ$2,0)/AZ$1,"")</f>
        <v>2.151532005258368</v>
      </c>
      <c r="BA9" s="168">
        <f>IFERROR(VLOOKUP($B9,RD[#All],BA$2,0)/BA$1,"")</f>
        <v>2.8479858297820102</v>
      </c>
      <c r="BB9" s="168">
        <f>IFERROR(VLOOKUP($B9,RD[#All],BB$2,0)/BB$1,"")</f>
        <v>2.9154938971520048</v>
      </c>
      <c r="BC9" s="168">
        <f>IFERROR(VLOOKUP($B9,RD[#All],BC$2,0)/BC$1,"")</f>
        <v>2.8732646663681147</v>
      </c>
      <c r="BD9" s="168">
        <f>IFERROR(VLOOKUP($B9,RD[#All],BD$2,0)/BD$1,"")</f>
        <v>2.9186534759916216</v>
      </c>
      <c r="BE9" s="168">
        <f>IFERROR(VLOOKUP($B9,RD[#All],BE$2,0)/BE$1,"")</f>
        <v>2.8820480069571364</v>
      </c>
      <c r="BF9" s="168">
        <f>IFERROR(VLOOKUP($B9,RD[#All],BF$2,0)/BF$1,"")</f>
        <v>2.8839659019981703</v>
      </c>
      <c r="BG9" s="168">
        <f>IFERROR(VLOOKUP($B9,RD[#All],BG$2,0)/BG$1,"")</f>
        <v>2.9265048459923504</v>
      </c>
      <c r="BH9" s="168">
        <f>IFERROR(VLOOKUP($B9,RD[#All],BH$2,0)/BH$1,"")</f>
        <v>2.8989675304132758</v>
      </c>
      <c r="BI9" s="168">
        <f>IFERROR(VLOOKUP($B9,RD[#All],BI$2,0)/BI$1,"")</f>
        <v>2.9355956942163837</v>
      </c>
      <c r="BJ9" s="168">
        <f>IFERROR(VLOOKUP($B9,RD[#All],BJ$2,0)/BJ$1,"")</f>
        <v>2.9222455677776398</v>
      </c>
      <c r="BK9" s="168">
        <f>IFERROR(VLOOKUP($B9,RD[#All],BK$2,0)/BK$1,"")</f>
        <v>2.9591440663110711</v>
      </c>
      <c r="BL9" s="168">
        <f>IFERROR(VLOOKUP($B9,RD[#All],BL$2,0)/BL$1,"")</f>
        <v>2.9336692809962237</v>
      </c>
      <c r="BM9" s="168">
        <f>IFERROR(VLOOKUP($B9,RD[#All],BM$2,0)/BM$1,"")</f>
        <v>2.8137420635996828</v>
      </c>
      <c r="BN9" s="168">
        <f>IFERROR(VLOOKUP($B9,RD[#All],BN$2,0)/BN$1,"")</f>
        <v>2.8905085974308382</v>
      </c>
      <c r="BO9" s="168">
        <f>IFERROR(VLOOKUP($B9,RD[#All],BO$2,0)/BO$1,"")</f>
        <v>2.6851711758799497</v>
      </c>
      <c r="BP9" s="168">
        <f>IFERROR(VLOOKUP($B9,RD[#All],BP$2,0)/BP$1,"")</f>
        <v>2.9061026323807644</v>
      </c>
      <c r="BQ9" s="168">
        <f>IFERROR(VLOOKUP($B9,RD[#All],BQ$2,0)/BQ$1,"")</f>
        <v>2.5970786366971255</v>
      </c>
      <c r="BR9" s="168">
        <f>IFERROR(VLOOKUP($B9,RD[#All],BR$2,0)/BR$1,"")</f>
        <v>2.8994599393356513</v>
      </c>
      <c r="BS9" s="168">
        <f>IFERROR(VLOOKUP($B9,RD[#All],BS$2,0)/BS$1,"")</f>
        <v>2.7672141575228881</v>
      </c>
      <c r="BT9" s="168">
        <f>IFERROR(VLOOKUP($B9,RD[#All],BT$2,0)/BT$1,"")</f>
        <v>2.8051562394546803</v>
      </c>
      <c r="BU9" s="168">
        <f>IFERROR(VLOOKUP($B9,RD[#All],BU$2,0)/BU$1,"")</f>
        <v>1.358770183587702</v>
      </c>
      <c r="BV9" s="168">
        <f>IFERROR(VLOOKUP($B9,RD[#All],BV$2,0)/BV$1,"")</f>
        <v>2.71</v>
      </c>
      <c r="BW9" s="168">
        <f>IFERROR(VLOOKUP($B9,RD[#All],BW$2,0)/BW$1,"")</f>
        <v>2.8897776816920691</v>
      </c>
      <c r="BX9" s="168">
        <f>IFERROR(VLOOKUP($B9,RD[#All],BX$2,0)/BX$1,"")</f>
        <v>2.8603200791948526</v>
      </c>
      <c r="BY9" s="168">
        <f>AVERAGEIF(Inv_SY_B[[#This Row],[IS1Inv1M1]:[IS4Inv4M2]],"&gt;="&amp;0.1,Inv_SY_B[[#This Row],[IS1Inv1M1]:[IS4Inv4M2]])</f>
        <v>2.8372454554486004</v>
      </c>
      <c r="BZ9" s="168">
        <f>AVERAGEIF(Inv_SY_B[[#This Row],[IS5Inv1M1]:[IS9Inv2M2]],"&gt;="&amp;0.1,Inv_SY_B[[#This Row],[IS5Inv1M1]:[IS9Inv2M2]])</f>
        <v>2.905090821603336</v>
      </c>
      <c r="CA9" s="168">
        <f>AVERAGEIF(Inv_SY_B[[#This Row],[IS10Inv1M1]:[IS14Inv2M4]],"&gt;="&amp;0.1,Inv_SY_B[[#This Row],[IS10Inv1M1]:[IS14Inv2M4]])</f>
        <v>2.781034348390425</v>
      </c>
    </row>
    <row r="10" spans="2:79">
      <c r="B10" s="173">
        <f t="shared" si="32"/>
        <v>45843</v>
      </c>
      <c r="C10" s="168">
        <f>IFERROR(VLOOKUP($B10,RD[#All],C$2,0)/C$1,"")</f>
        <v>2.5235152430143364</v>
      </c>
      <c r="D10" s="168">
        <f>IFERROR(VLOOKUP($B10,RD[#All],D$2,0)/D$1,"")</f>
        <v>2.5307820247383801</v>
      </c>
      <c r="E10" s="168">
        <f>IFERROR(VLOOKUP($B10,RD[#All],E$2,0)/E$1,"")</f>
        <v>2.5016733545347076</v>
      </c>
      <c r="F10" s="168">
        <f>IFERROR(VLOOKUP($B10,RD[#All],F$2,0)/F$1,"")</f>
        <v>2.4412473189242698</v>
      </c>
      <c r="G10" s="168">
        <f>IFERROR(VLOOKUP($B10,RD[#All],G$2,0)/G$1,"")</f>
        <v>2.4505764215086288</v>
      </c>
      <c r="H10" s="168">
        <f>IFERROR(VLOOKUP($B10,RD[#All],H$2,0)/H$1,"")</f>
        <v>2.4587086621978265</v>
      </c>
      <c r="I10" s="168">
        <f>IFERROR(VLOOKUP($B10,RD[#All],I$2,0)/I$1,"")</f>
        <v>2.524088418666163</v>
      </c>
      <c r="J10" s="168">
        <f>IFERROR(VLOOKUP($B10,RD[#All],J$2,0)/J$1,"")</f>
        <v>2.4854417847141668</v>
      </c>
      <c r="K10" s="168">
        <f>IFERROR(VLOOKUP($B10,RD[#All],K$2,0)/K$1,"")</f>
        <v>2.5076510490613662</v>
      </c>
      <c r="L10" s="168">
        <f>IFERROR(VLOOKUP($B10,RD[#All],L$2,0)/L$1,"")</f>
        <v>2.5241098410195768</v>
      </c>
      <c r="M10" s="168">
        <f>IFERROR(VLOOKUP($B10,RD[#All],M$2,0)/M$1,"")</f>
        <v>2.5837219996058596</v>
      </c>
      <c r="N10" s="168">
        <f>IFERROR(VLOOKUP($B10,RD[#All],N$2,0)/N$1,"")</f>
        <v>2.5241454764958879</v>
      </c>
      <c r="O10" s="168">
        <f>IFERROR(VLOOKUP($B10,RD[#All],O$2,0)/O$1,"")</f>
        <v>2.6565949804638471</v>
      </c>
      <c r="P10" s="168">
        <f>IFERROR(VLOOKUP($B10,RD[#All],P$2,0)/P$1,"")</f>
        <v>2.445805784866709</v>
      </c>
      <c r="Q10" s="168">
        <f>IFERROR(VLOOKUP($B10,RD[#All],Q$2,0)/Q$1,"")</f>
        <v>2.5194128612520523</v>
      </c>
      <c r="R10" s="168">
        <f>IFERROR(VLOOKUP($B10,RD[#All],R$2,0)/R$1,"")</f>
        <v>2.5362883240104788</v>
      </c>
      <c r="S10" s="168">
        <f>IFERROR(VLOOKUP($B10,RD[#All],S$2,0)/S$1,"")</f>
        <v>2.319622540307368</v>
      </c>
      <c r="T10" s="168">
        <f>IFERROR(VLOOKUP($B10,RD[#All],T$2,0)/T$1,"")</f>
        <v>2.3348839845663645</v>
      </c>
      <c r="U10" s="168">
        <f>IFERROR(VLOOKUP($B10,RD[#All],U$2,0)/U$1,"")</f>
        <v>2.3396932567258775</v>
      </c>
      <c r="V10" s="168">
        <f>IFERROR(VLOOKUP($B10,RD[#All],V$2,0)/V$1,"")</f>
        <v>2.3565700463470658</v>
      </c>
      <c r="W10" s="168">
        <f>IFERROR(VLOOKUP($B10,RD[#All],W$2,0)/W$1,"")</f>
        <v>2.4864296320739152</v>
      </c>
      <c r="X10" s="168">
        <f>IFERROR(VLOOKUP($B10,RD[#All],X$2,0)/X$1,"")</f>
        <v>2.4631316950434212</v>
      </c>
      <c r="Y10" s="168">
        <f>IFERROR(VLOOKUP($B10,RD[#All],Y$2,0)/Y$1,"")</f>
        <v>2.5506054312293394</v>
      </c>
      <c r="Z10" s="168">
        <f>IFERROR(VLOOKUP($B10,RD[#All],Z$2,0)/Z$1,"")</f>
        <v>2.5351891416362951</v>
      </c>
      <c r="AA10" s="168">
        <f>IFERROR(VLOOKUP($B10,RD[#All],AA$2,0)/AA$1,"")</f>
        <v>1.6436033724340176</v>
      </c>
      <c r="AB10" s="168">
        <f>IFERROR(VLOOKUP($B10,RD[#All],AB$2,0)/AB$1,"")</f>
        <v>1.630094043887147</v>
      </c>
      <c r="AC10" s="168">
        <f>IFERROR(VLOOKUP($B10,RD[#All],AC$2,0)/AC$1,"")</f>
        <v>2.5260764113356164</v>
      </c>
      <c r="AD10" s="168">
        <f>IFERROR(VLOOKUP($B10,RD[#All],AD$2,0)/AD$1,"")</f>
        <v>2.4964522980973465</v>
      </c>
      <c r="AE10" s="168">
        <f>IFERROR(VLOOKUP($B10,RD[#All],AE$2,0)/AE$1,"")</f>
        <v>2.5555181884423521</v>
      </c>
      <c r="AF10" s="168">
        <f>IFERROR(VLOOKUP($B10,RD[#All],AF$2,0)/AF$1,"")</f>
        <v>2.5233234198751435</v>
      </c>
      <c r="AG10" s="168">
        <f>IFERROR(VLOOKUP($B10,RD[#All],AG$2,0)/AG$1,"")</f>
        <v>2.5325337331334334</v>
      </c>
      <c r="AH10" s="168">
        <f>IFERROR(VLOOKUP($B10,RD[#All],AH$2,0)/AH$1,"")</f>
        <v>2.508440062161728</v>
      </c>
      <c r="AI10" s="168">
        <f>IFERROR(VLOOKUP($B10,RD[#All],AI$2,0)/AI$1,"")</f>
        <v>2.5527599836445414</v>
      </c>
      <c r="AJ10" s="168">
        <f>IFERROR(VLOOKUP($B10,RD[#All],AJ$2,0)/AJ$1,"")</f>
        <v>2.5631042385606277</v>
      </c>
      <c r="AK10" s="168">
        <f>IFERROR(VLOOKUP($B10,RD[#All],AK$2,0)/AK$1,"")</f>
        <v>2.5470485096434836</v>
      </c>
      <c r="AL10" s="168">
        <f>IFERROR(VLOOKUP($B10,RD[#All],AL$2,0)/AL$1,"")</f>
        <v>2.5644795157280296</v>
      </c>
      <c r="AM10" s="168">
        <f>IFERROR(VLOOKUP($B10,RD[#All],AM$2,0)/AM$1,"")</f>
        <v>2.5448450867285466</v>
      </c>
      <c r="AN10" s="168">
        <f>IFERROR(VLOOKUP($B10,RD[#All],AN$2,0)/AN$1,"")</f>
        <v>2.5623456083787115</v>
      </c>
      <c r="AO10" s="168">
        <f>IFERROR(VLOOKUP($B10,RD[#All],AO$2,0)/AO$1,"")</f>
        <v>2.5626821568719835</v>
      </c>
      <c r="AP10" s="168">
        <f>IFERROR(VLOOKUP($B10,RD[#All],AP$2,0)/AP$1,"")</f>
        <v>2.5335370573545939</v>
      </c>
      <c r="AQ10" s="168">
        <f>IFERROR(VLOOKUP($B10,RD[#All],AQ$2,0)/AQ$1,"")</f>
        <v>2.5400763358778624</v>
      </c>
      <c r="AR10" s="168">
        <f>IFERROR(VLOOKUP($B10,RD[#All],AR$2,0)/AR$1,"")</f>
        <v>2.5339749246574201</v>
      </c>
      <c r="AS10" s="168">
        <f>IFERROR(VLOOKUP($B10,RD[#All],AS$2,0)/AS$1,"")</f>
        <v>2.5524974515800203</v>
      </c>
      <c r="AT10" s="168">
        <f>IFERROR(VLOOKUP($B10,RD[#All],AT$2,0)/AT$1,"")</f>
        <v>2.609038151306279</v>
      </c>
      <c r="AU10" s="168">
        <f>IFERROR(VLOOKUP($B10,RD[#All],AU$2,0)/AU$1,"")</f>
        <v>2.6191920452533597</v>
      </c>
      <c r="AV10" s="168">
        <f>IFERROR(VLOOKUP($B10,RD[#All],AV$2,0)/AV$1,"")</f>
        <v>2.5960044761954224</v>
      </c>
      <c r="AW10" s="168">
        <f>IFERROR(VLOOKUP($B10,RD[#All],AW$2,0)/AW$1,"")</f>
        <v>2.5038262954084458</v>
      </c>
      <c r="AX10" s="168">
        <f>IFERROR(VLOOKUP($B10,RD[#All],AX$2,0)/AX$1,"")</f>
        <v>2.5621571316614418</v>
      </c>
      <c r="AY10" s="168">
        <f>IFERROR(VLOOKUP($B10,RD[#All],AY$2,0)/AY$1,"")</f>
        <v>1.1512506818358919</v>
      </c>
      <c r="AZ10" s="168">
        <f>IFERROR(VLOOKUP($B10,RD[#All],AZ$2,0)/AZ$1,"")</f>
        <v>8.089796743856811E-3</v>
      </c>
      <c r="BA10" s="168">
        <f>IFERROR(VLOOKUP($B10,RD[#All],BA$2,0)/BA$1,"")</f>
        <v>2.5452026446396938</v>
      </c>
      <c r="BB10" s="168">
        <f>IFERROR(VLOOKUP($B10,RD[#All],BB$2,0)/BB$1,"")</f>
        <v>2.5707552413348456</v>
      </c>
      <c r="BC10" s="168">
        <f>IFERROR(VLOOKUP($B10,RD[#All],BC$2,0)/BC$1,"")</f>
        <v>2.5943573667711597</v>
      </c>
      <c r="BD10" s="168">
        <f>IFERROR(VLOOKUP($B10,RD[#All],BD$2,0)/BD$1,"")</f>
        <v>2.6393875867483763</v>
      </c>
      <c r="BE10" s="168">
        <f>IFERROR(VLOOKUP($B10,RD[#All],BE$2,0)/BE$1,"")</f>
        <v>2.6348114982980837</v>
      </c>
      <c r="BF10" s="168">
        <f>IFERROR(VLOOKUP($B10,RD[#All],BF$2,0)/BF$1,"")</f>
        <v>2.6436211599134727</v>
      </c>
      <c r="BG10" s="168">
        <f>IFERROR(VLOOKUP($B10,RD[#All],BG$2,0)/BG$1,"")</f>
        <v>2.6921141180869119</v>
      </c>
      <c r="BH10" s="168">
        <f>IFERROR(VLOOKUP($B10,RD[#All],BH$2,0)/BH$1,"")</f>
        <v>2.6713353081590983</v>
      </c>
      <c r="BI10" s="168">
        <f>IFERROR(VLOOKUP($B10,RD[#All],BI$2,0)/BI$1,"")</f>
        <v>2.6546250684181718</v>
      </c>
      <c r="BJ10" s="168">
        <f>IFERROR(VLOOKUP($B10,RD[#All],BJ$2,0)/BJ$1,"")</f>
        <v>2.6933904612807096</v>
      </c>
      <c r="BK10" s="168">
        <f>IFERROR(VLOOKUP($B10,RD[#All],BK$2,0)/BK$1,"")</f>
        <v>2.6797385620915031</v>
      </c>
      <c r="BL10" s="168">
        <f>IFERROR(VLOOKUP($B10,RD[#All],BL$2,0)/BL$1,"")</f>
        <v>2.6548074615744075</v>
      </c>
      <c r="BM10" s="168">
        <f>IFERROR(VLOOKUP($B10,RD[#All],BM$2,0)/BM$1,"")</f>
        <v>2.5994931551843115</v>
      </c>
      <c r="BN10" s="168">
        <f>IFERROR(VLOOKUP($B10,RD[#All],BN$2,0)/BN$1,"")</f>
        <v>2.6769678595877604</v>
      </c>
      <c r="BO10" s="168">
        <f>IFERROR(VLOOKUP($B10,RD[#All],BO$2,0)/BO$1,"")</f>
        <v>2.4923318157435044</v>
      </c>
      <c r="BP10" s="168">
        <f>IFERROR(VLOOKUP($B10,RD[#All],BP$2,0)/BP$1,"")</f>
        <v>2.6722846618630292</v>
      </c>
      <c r="BQ10" s="168">
        <f>IFERROR(VLOOKUP($B10,RD[#All],BQ$2,0)/BQ$1,"")</f>
        <v>2.5451210564930302</v>
      </c>
      <c r="BR10" s="168">
        <f>IFERROR(VLOOKUP($B10,RD[#All],BR$2,0)/BR$1,"")</f>
        <v>2.6061996005030701</v>
      </c>
      <c r="BS10" s="168">
        <f>IFERROR(VLOOKUP($B10,RD[#All],BS$2,0)/BS$1,"")</f>
        <v>2.4600740589290986</v>
      </c>
      <c r="BT10" s="168">
        <f>IFERROR(VLOOKUP($B10,RD[#All],BT$2,0)/BT$1,"")</f>
        <v>2.5046230680974553</v>
      </c>
      <c r="BU10" s="168">
        <f>IFERROR(VLOOKUP($B10,RD[#All],BU$2,0)/BU$1,"")</f>
        <v>1.2176509621765097</v>
      </c>
      <c r="BV10" s="168">
        <f>IFERROR(VLOOKUP($B10,RD[#All],BV$2,0)/BV$1,"")</f>
        <v>2.4905263157894737</v>
      </c>
      <c r="BW10" s="168">
        <f>IFERROR(VLOOKUP($B10,RD[#All],BW$2,0)/BW$1,"")</f>
        <v>2.6188159838576008</v>
      </c>
      <c r="BX10" s="168">
        <f>IFERROR(VLOOKUP($B10,RD[#All],BX$2,0)/BX$1,"")</f>
        <v>2.5981191222570534</v>
      </c>
      <c r="BY10" s="168">
        <f>AVERAGEIF(Inv_SY_B[[#This Row],[IS1Inv1M1]:[IS4Inv4M2]],"&gt;="&amp;0.1,Inv_SY_B[[#This Row],[IS1Inv1M1]:[IS4Inv4M2]])</f>
        <v>2.4248612642413585</v>
      </c>
      <c r="BZ10" s="168">
        <f>AVERAGEIF(Inv_SY_B[[#This Row],[IS5Inv1M1]:[IS9Inv2M2]],"&gt;="&amp;0.1,Inv_SY_B[[#This Row],[IS5Inv1M1]:[IS9Inv2M2]])</f>
        <v>2.5556333858551965</v>
      </c>
      <c r="CA10" s="168">
        <f>AVERAGEIF(Inv_SY_B[[#This Row],[IS10Inv1M1]:[IS14Inv2M4]],"&gt;="&amp;0.1,Inv_SY_B[[#This Row],[IS10Inv1M1]:[IS14Inv2M4]])</f>
        <v>2.4953180832112634</v>
      </c>
    </row>
    <row r="11" spans="2:79">
      <c r="B11" s="173">
        <f t="shared" si="32"/>
        <v>45844</v>
      </c>
      <c r="C11" s="168">
        <f>IFERROR(VLOOKUP($B11,RD[#All],C$2,0)/C$1,"")</f>
        <v>2.3754232430519231</v>
      </c>
      <c r="D11" s="168">
        <f>IFERROR(VLOOKUP($B11,RD[#All],D$2,0)/D$1,"")</f>
        <v>2.3617040603142883</v>
      </c>
      <c r="E11" s="168">
        <f>IFERROR(VLOOKUP($B11,RD[#All],E$2,0)/E$1,"")</f>
        <v>2.3512212990559287</v>
      </c>
      <c r="F11" s="168">
        <f>IFERROR(VLOOKUP($B11,RD[#All],F$2,0)/F$1,"")</f>
        <v>2.3609305395149316</v>
      </c>
      <c r="G11" s="168">
        <f>IFERROR(VLOOKUP($B11,RD[#All],G$2,0)/G$1,"")</f>
        <v>2.3921973226358388</v>
      </c>
      <c r="H11" s="168">
        <f>IFERROR(VLOOKUP($B11,RD[#All],H$2,0)/H$1,"")</f>
        <v>2.3817017111279069</v>
      </c>
      <c r="I11" s="168">
        <f>IFERROR(VLOOKUP($B11,RD[#All],I$2,0)/I$1,"")</f>
        <v>2.4058450653758707</v>
      </c>
      <c r="J11" s="168">
        <f>IFERROR(VLOOKUP($B11,RD[#All],J$2,0)/J$1,"")</f>
        <v>2.381806038876586</v>
      </c>
      <c r="K11" s="168">
        <f>IFERROR(VLOOKUP($B11,RD[#All],K$2,0)/K$1,"")</f>
        <v>2.3471840984382393</v>
      </c>
      <c r="L11" s="168">
        <f>IFERROR(VLOOKUP($B11,RD[#All],L$2,0)/L$1,"")</f>
        <v>2.4128235448692683</v>
      </c>
      <c r="M11" s="168">
        <f>IFERROR(VLOOKUP($B11,RD[#All],M$2,0)/M$1,"")</f>
        <v>2.4519477107009129</v>
      </c>
      <c r="N11" s="168">
        <f>IFERROR(VLOOKUP($B11,RD[#All],N$2,0)/N$1,"")</f>
        <v>2.3691491234689006</v>
      </c>
      <c r="O11" s="168">
        <f>IFERROR(VLOOKUP($B11,RD[#All],O$2,0)/O$1,"")</f>
        <v>2.4876893268877973</v>
      </c>
      <c r="P11" s="168">
        <f>IFERROR(VLOOKUP($B11,RD[#All],P$2,0)/P$1,"")</f>
        <v>2.2988806295369368</v>
      </c>
      <c r="Q11" s="168">
        <f>IFERROR(VLOOKUP($B11,RD[#All],Q$2,0)/Q$1,"")</f>
        <v>2.3721343653938742</v>
      </c>
      <c r="R11" s="168">
        <f>IFERROR(VLOOKUP($B11,RD[#All],R$2,0)/R$1,"")</f>
        <v>2.3657734321191093</v>
      </c>
      <c r="S11" s="168">
        <f>IFERROR(VLOOKUP($B11,RD[#All],S$2,0)/S$1,"")</f>
        <v>2.366259539902817</v>
      </c>
      <c r="T11" s="168">
        <f>IFERROR(VLOOKUP($B11,RD[#All],T$2,0)/T$1,"")</f>
        <v>2.3692169413708082</v>
      </c>
      <c r="U11" s="168">
        <f>IFERROR(VLOOKUP($B11,RD[#All],U$2,0)/U$1,"")</f>
        <v>2.3873221556660993</v>
      </c>
      <c r="V11" s="168">
        <f>IFERROR(VLOOKUP($B11,RD[#All],V$2,0)/V$1,"")</f>
        <v>2.3922216355505013</v>
      </c>
      <c r="W11" s="168">
        <f>IFERROR(VLOOKUP($B11,RD[#All],W$2,0)/W$1,"")</f>
        <v>2.3125721828081174</v>
      </c>
      <c r="X11" s="168">
        <f>IFERROR(VLOOKUP($B11,RD[#All],X$2,0)/X$1,"")</f>
        <v>2.3042987307604923</v>
      </c>
      <c r="Y11" s="168">
        <f>IFERROR(VLOOKUP($B11,RD[#All],Y$2,0)/Y$1,"")</f>
        <v>2.3897684185430221</v>
      </c>
      <c r="Z11" s="168">
        <f>IFERROR(VLOOKUP($B11,RD[#All],Z$2,0)/Z$1,"")</f>
        <v>2.4025117147525088</v>
      </c>
      <c r="AA11" s="168">
        <f>IFERROR(VLOOKUP($B11,RD[#All],AA$2,0)/AA$1,"")</f>
        <v>2.3519978005865103</v>
      </c>
      <c r="AB11" s="168">
        <f>IFERROR(VLOOKUP($B11,RD[#All],AB$2,0)/AB$1,"")</f>
        <v>2.3460996774340099</v>
      </c>
      <c r="AC11" s="168">
        <f>IFERROR(VLOOKUP($B11,RD[#All],AC$2,0)/AC$1,"")</f>
        <v>2.3685405003920055</v>
      </c>
      <c r="AD11" s="168">
        <f>IFERROR(VLOOKUP($B11,RD[#All],AD$2,0)/AD$1,"")</f>
        <v>2.3529624440728516</v>
      </c>
      <c r="AE11" s="168">
        <f>IFERROR(VLOOKUP($B11,RD[#All],AE$2,0)/AE$1,"")</f>
        <v>2.4853988005156662</v>
      </c>
      <c r="AF11" s="168">
        <f>IFERROR(VLOOKUP($B11,RD[#All],AF$2,0)/AF$1,"")</f>
        <v>2.4514642445676929</v>
      </c>
      <c r="AG11" s="168">
        <f>IFERROR(VLOOKUP($B11,RD[#All],AG$2,0)/AG$1,"")</f>
        <v>2.4517377674798966</v>
      </c>
      <c r="AH11" s="168">
        <f>IFERROR(VLOOKUP($B11,RD[#All],AH$2,0)/AH$1,"")</f>
        <v>2.4404372756015222</v>
      </c>
      <c r="AI11" s="168">
        <f>IFERROR(VLOOKUP($B11,RD[#All],AI$2,0)/AI$1,"")</f>
        <v>2.4597519422107128</v>
      </c>
      <c r="AJ11" s="168">
        <f>IFERROR(VLOOKUP($B11,RD[#All],AJ$2,0)/AJ$1,"")</f>
        <v>2.4575221938305103</v>
      </c>
      <c r="AK11" s="168">
        <f>IFERROR(VLOOKUP($B11,RD[#All],AK$2,0)/AK$1,"")</f>
        <v>2.4361617342330377</v>
      </c>
      <c r="AL11" s="168">
        <f>IFERROR(VLOOKUP($B11,RD[#All],AL$2,0)/AL$1,"")</f>
        <v>2.4547616473894713</v>
      </c>
      <c r="AM11" s="168">
        <f>IFERROR(VLOOKUP($B11,RD[#All],AM$2,0)/AM$1,"")</f>
        <v>2.4298801214266961</v>
      </c>
      <c r="AN11" s="168">
        <f>IFERROR(VLOOKUP($B11,RD[#All],AN$2,0)/AN$1,"")</f>
        <v>2.4482556691593693</v>
      </c>
      <c r="AO11" s="168">
        <f>IFERROR(VLOOKUP($B11,RD[#All],AO$2,0)/AO$1,"")</f>
        <v>2.4596983179306307</v>
      </c>
      <c r="AP11" s="168">
        <f>IFERROR(VLOOKUP($B11,RD[#All],AP$2,0)/AP$1,"")</f>
        <v>2.4489287661459138</v>
      </c>
      <c r="AQ11" s="168">
        <f>IFERROR(VLOOKUP($B11,RD[#All],AQ$2,0)/AQ$1,"")</f>
        <v>2.4484732824427478</v>
      </c>
      <c r="AR11" s="168">
        <f>IFERROR(VLOOKUP($B11,RD[#All],AR$2,0)/AR$1,"")</f>
        <v>2.4366706072362176</v>
      </c>
      <c r="AS11" s="168">
        <f>IFERROR(VLOOKUP($B11,RD[#All],AS$2,0)/AS$1,"")</f>
        <v>2.4312043774239278</v>
      </c>
      <c r="AT11" s="168">
        <f>IFERROR(VLOOKUP($B11,RD[#All],AT$2,0)/AT$1,"")</f>
        <v>2.4409293750392824</v>
      </c>
      <c r="AU11" s="168">
        <f>IFERROR(VLOOKUP($B11,RD[#All],AU$2,0)/AU$1,"")</f>
        <v>2.4381437763569185</v>
      </c>
      <c r="AV11" s="168">
        <f>IFERROR(VLOOKUP($B11,RD[#All],AV$2,0)/AV$1,"")</f>
        <v>2.4239920297279811</v>
      </c>
      <c r="AW11" s="168">
        <f>IFERROR(VLOOKUP($B11,RD[#All],AW$2,0)/AW$1,"")</f>
        <v>2.0143370827955009</v>
      </c>
      <c r="AX11" s="168">
        <f>IFERROR(VLOOKUP($B11,RD[#All],AX$2,0)/AX$1,"")</f>
        <v>2.0646061912225706</v>
      </c>
      <c r="AY11" s="168">
        <f>IFERROR(VLOOKUP($B11,RD[#All],AY$2,0)/AY$1,"")</f>
        <v>1.3621652510454816</v>
      </c>
      <c r="AZ11" s="168">
        <f>IFERROR(VLOOKUP($B11,RD[#All],AZ$2,0)/AZ$1,"")</f>
        <v>1.7797552836484987E-2</v>
      </c>
      <c r="BA11" s="168">
        <f>IFERROR(VLOOKUP($B11,RD[#All],BA$2,0)/BA$1,"")</f>
        <v>2.3474246330299362</v>
      </c>
      <c r="BB11" s="168">
        <f>IFERROR(VLOOKUP($B11,RD[#All],BB$2,0)/BB$1,"")</f>
        <v>2.4030325262900467</v>
      </c>
      <c r="BC11" s="168">
        <f>IFERROR(VLOOKUP($B11,RD[#All],BC$2,0)/BC$1,"")</f>
        <v>2.3650246305418721</v>
      </c>
      <c r="BD11" s="168">
        <f>IFERROR(VLOOKUP($B11,RD[#All],BD$2,0)/BD$1,"")</f>
        <v>2.415515105645353</v>
      </c>
      <c r="BE11" s="168">
        <f>IFERROR(VLOOKUP($B11,RD[#All],BE$2,0)/BE$1,"")</f>
        <v>2.3851970622405512</v>
      </c>
      <c r="BF11" s="168">
        <f>IFERROR(VLOOKUP($B11,RD[#All],BF$2,0)/BF$1,"")</f>
        <v>2.3826705541352804</v>
      </c>
      <c r="BG11" s="168">
        <f>IFERROR(VLOOKUP($B11,RD[#All],BG$2,0)/BG$1,"")</f>
        <v>2.4131460124816662</v>
      </c>
      <c r="BH11" s="168">
        <f>IFERROR(VLOOKUP($B11,RD[#All],BH$2,0)/BH$1,"")</f>
        <v>2.3987662132236638</v>
      </c>
      <c r="BI11" s="168">
        <f>IFERROR(VLOOKUP($B11,RD[#All],BI$2,0)/BI$1,"")</f>
        <v>2.3901399640315897</v>
      </c>
      <c r="BJ11" s="168">
        <f>IFERROR(VLOOKUP($B11,RD[#All],BJ$2,0)/BJ$1,"")</f>
        <v>2.4108405773218524</v>
      </c>
      <c r="BK11" s="168">
        <f>IFERROR(VLOOKUP($B11,RD[#All],BK$2,0)/BK$1,"")</f>
        <v>2.4187388876367919</v>
      </c>
      <c r="BL11" s="168">
        <f>IFERROR(VLOOKUP($B11,RD[#All],BL$2,0)/BL$1,"")</f>
        <v>2.393879690321929</v>
      </c>
      <c r="BM11" s="168">
        <f>IFERROR(VLOOKUP($B11,RD[#All],BM$2,0)/BM$1,"")</f>
        <v>2.3678873731757957</v>
      </c>
      <c r="BN11" s="168">
        <f>IFERROR(VLOOKUP($B11,RD[#All],BN$2,0)/BN$1,"")</f>
        <v>2.4172903567257853</v>
      </c>
      <c r="BO11" s="168">
        <f>IFERROR(VLOOKUP($B11,RD[#All],BO$2,0)/BO$1,"")</f>
        <v>2.0791439142813912</v>
      </c>
      <c r="BP11" s="168">
        <f>IFERROR(VLOOKUP($B11,RD[#All],BP$2,0)/BP$1,"")</f>
        <v>2.4131035742015476</v>
      </c>
      <c r="BQ11" s="168">
        <f>IFERROR(VLOOKUP($B11,RD[#All],BQ$2,0)/BQ$1,"")</f>
        <v>2.3683052090975791</v>
      </c>
      <c r="BR11" s="168">
        <f>IFERROR(VLOOKUP($B11,RD[#All],BR$2,0)/BR$1,"")</f>
        <v>2.4069690019974845</v>
      </c>
      <c r="BS11" s="168">
        <f>IFERROR(VLOOKUP($B11,RD[#All],BS$2,0)/BS$1,"")</f>
        <v>2.3053681364865173</v>
      </c>
      <c r="BT11" s="168">
        <f>IFERROR(VLOOKUP($B11,RD[#All],BT$2,0)/BT$1,"")</f>
        <v>2.3277316595802118</v>
      </c>
      <c r="BU11" s="168">
        <f>IFERROR(VLOOKUP($B11,RD[#All],BU$2,0)/BU$1,"")</f>
        <v>1.1210646612106467</v>
      </c>
      <c r="BV11" s="168">
        <f>IFERROR(VLOOKUP($B11,RD[#All],BV$2,0)/BV$1,"")</f>
        <v>2.1910526315789474</v>
      </c>
      <c r="BW11" s="168">
        <f>IFERROR(VLOOKUP($B11,RD[#All],BW$2,0)/BW$1,"")</f>
        <v>2.4049291968435842</v>
      </c>
      <c r="BX11" s="168">
        <f>IFERROR(VLOOKUP($B11,RD[#All],BX$2,0)/BX$1,"")</f>
        <v>2.3947863388879722</v>
      </c>
      <c r="BY11" s="168">
        <f>AVERAGEIF(Inv_SY_B[[#This Row],[IS1Inv1M1]:[IS4Inv4M2]],"&gt;="&amp;0.1,Inv_SY_B[[#This Row],[IS1Inv1M1]:[IS4Inv4M2]])</f>
        <v>2.3735779733288593</v>
      </c>
      <c r="BZ11" s="168">
        <f>AVERAGEIF(Inv_SY_B[[#This Row],[IS5Inv1M1]:[IS9Inv2M2]],"&gt;="&amp;0.1,Inv_SY_B[[#This Row],[IS5Inv1M1]:[IS9Inv2M2]])</f>
        <v>2.4468562182621221</v>
      </c>
      <c r="CA11" s="168">
        <f>AVERAGEIF(Inv_SY_B[[#This Row],[IS10Inv1M1]:[IS14Inv2M4]],"&gt;="&amp;0.1,Inv_SY_B[[#This Row],[IS10Inv1M1]:[IS14Inv2M4]])</f>
        <v>2.2578932013345017</v>
      </c>
    </row>
    <row r="12" spans="2:79">
      <c r="B12" s="173">
        <f t="shared" si="32"/>
        <v>45845</v>
      </c>
      <c r="C12" s="168">
        <f>IFERROR(VLOOKUP($B12,RD[#All],C$2,0)/C$1,"")</f>
        <v>1.5549659996053384</v>
      </c>
      <c r="D12" s="168">
        <f>IFERROR(VLOOKUP($B12,RD[#All],D$2,0)/D$1,"")</f>
        <v>1.5471980605210158</v>
      </c>
      <c r="E12" s="168">
        <f>IFERROR(VLOOKUP($B12,RD[#All],E$2,0)/E$1,"")</f>
        <v>1.5298956026573869</v>
      </c>
      <c r="F12" s="168">
        <f>IFERROR(VLOOKUP($B12,RD[#All],F$2,0)/F$1,"")</f>
        <v>1.5174393664411814</v>
      </c>
      <c r="G12" s="168">
        <f>IFERROR(VLOOKUP($B12,RD[#All],G$2,0)/G$1,"")</f>
        <v>1.5327236957622286</v>
      </c>
      <c r="H12" s="168">
        <f>IFERROR(VLOOKUP($B12,RD[#All],H$2,0)/H$1,"")</f>
        <v>1.5341296294001761</v>
      </c>
      <c r="I12" s="168">
        <f>IFERROR(VLOOKUP($B12,RD[#All],I$2,0)/I$1,"")</f>
        <v>1.5565776529834461</v>
      </c>
      <c r="J12" s="168">
        <f>IFERROR(VLOOKUP($B12,RD[#All],J$2,0)/J$1,"")</f>
        <v>1.5605117930331469</v>
      </c>
      <c r="K12" s="168">
        <f>IFERROR(VLOOKUP($B12,RD[#All],K$2,0)/K$1,"")</f>
        <v>1.5422621864647421</v>
      </c>
      <c r="L12" s="168">
        <f>IFERROR(VLOOKUP($B12,RD[#All],L$2,0)/L$1,"")</f>
        <v>1.5681250821179871</v>
      </c>
      <c r="M12" s="168">
        <f>IFERROR(VLOOKUP($B12,RD[#All],M$2,0)/M$1,"")</f>
        <v>1.5941667214083954</v>
      </c>
      <c r="N12" s="168">
        <f>IFERROR(VLOOKUP($B12,RD[#All],N$2,0)/N$1,"")</f>
        <v>1.5512211071707036</v>
      </c>
      <c r="O12" s="168">
        <f>IFERROR(VLOOKUP($B12,RD[#All],O$2,0)/O$1,"")</f>
        <v>1.6269399367891191</v>
      </c>
      <c r="P12" s="168">
        <f>IFERROR(VLOOKUP($B12,RD[#All],P$2,0)/P$1,"")</f>
        <v>1.5045509444299179</v>
      </c>
      <c r="Q12" s="168">
        <f>IFERROR(VLOOKUP($B12,RD[#All],Q$2,0)/Q$1,"")</f>
        <v>1.5502512252632619</v>
      </c>
      <c r="R12" s="168">
        <f>IFERROR(VLOOKUP($B12,RD[#All],R$2,0)/R$1,"")</f>
        <v>1.5515632140995024</v>
      </c>
      <c r="S12" s="168">
        <f>IFERROR(VLOOKUP($B12,RD[#All],S$2,0)/S$1,"")</f>
        <v>1.5758396705409621</v>
      </c>
      <c r="T12" s="168">
        <f>IFERROR(VLOOKUP($B12,RD[#All],T$2,0)/T$1,"")</f>
        <v>1.5977375877049149</v>
      </c>
      <c r="U12" s="168">
        <f>IFERROR(VLOOKUP($B12,RD[#All],U$2,0)/U$1,"")</f>
        <v>1.5920182804698004</v>
      </c>
      <c r="V12" s="168">
        <f>IFERROR(VLOOKUP($B12,RD[#All],V$2,0)/V$1,"")</f>
        <v>1.6011173839856674</v>
      </c>
      <c r="W12" s="168">
        <f>IFERROR(VLOOKUP($B12,RD[#All],W$2,0)/W$1,"")</f>
        <v>1.5482181158224715</v>
      </c>
      <c r="X12" s="168">
        <f>IFERROR(VLOOKUP($B12,RD[#All],X$2,0)/X$1,"")</f>
        <v>1.5279704036269799</v>
      </c>
      <c r="Y12" s="168">
        <f>IFERROR(VLOOKUP($B12,RD[#All],Y$2,0)/Y$1,"")</f>
        <v>1.5887469109481955</v>
      </c>
      <c r="Z12" s="168">
        <f>IFERROR(VLOOKUP($B12,RD[#All],Z$2,0)/Z$1,"")</f>
        <v>1.5897951489254745</v>
      </c>
      <c r="AA12" s="168">
        <f>IFERROR(VLOOKUP($B12,RD[#All],AA$2,0)/AA$1,"")</f>
        <v>1.5724890029325513</v>
      </c>
      <c r="AB12" s="168">
        <f>IFERROR(VLOOKUP($B12,RD[#All],AB$2,0)/AB$1,"")</f>
        <v>1.576484485030212</v>
      </c>
      <c r="AC12" s="168">
        <f>IFERROR(VLOOKUP($B12,RD[#All],AC$2,0)/AC$1,"")</f>
        <v>1.5820071615568361</v>
      </c>
      <c r="AD12" s="168">
        <f>IFERROR(VLOOKUP($B12,RD[#All],AD$2,0)/AD$1,"")</f>
        <v>1.5653274280291045</v>
      </c>
      <c r="AE12" s="168">
        <f>IFERROR(VLOOKUP($B12,RD[#All],AE$2,0)/AE$1,"")</f>
        <v>1.572333389384003</v>
      </c>
      <c r="AF12" s="168">
        <f>IFERROR(VLOOKUP($B12,RD[#All],AF$2,0)/AF$1,"")</f>
        <v>1.5575382471934194</v>
      </c>
      <c r="AG12" s="168">
        <f>IFERROR(VLOOKUP($B12,RD[#All],AG$2,0)/AG$1,"")</f>
        <v>1.5605833446912907</v>
      </c>
      <c r="AH12" s="168">
        <f>IFERROR(VLOOKUP($B12,RD[#All],AH$2,0)/AH$1,"")</f>
        <v>1.5511494560848829</v>
      </c>
      <c r="AI12" s="168">
        <f>IFERROR(VLOOKUP($B12,RD[#All],AI$2,0)/AI$1,"")</f>
        <v>1.5614011176230067</v>
      </c>
      <c r="AJ12" s="168">
        <f>IFERROR(VLOOKUP($B12,RD[#All],AJ$2,0)/AJ$1,"")</f>
        <v>1.5648165222201733</v>
      </c>
      <c r="AK12" s="168">
        <f>IFERROR(VLOOKUP($B12,RD[#All],AK$2,0)/AK$1,"")</f>
        <v>1.5248924074172467</v>
      </c>
      <c r="AL12" s="168">
        <f>IFERROR(VLOOKUP($B12,RD[#All],AL$2,0)/AL$1,"")</f>
        <v>1.4179548156956003</v>
      </c>
      <c r="AM12" s="168">
        <f>IFERROR(VLOOKUP($B12,RD[#All],AM$2,0)/AM$1,"")</f>
        <v>1.5139970518351991</v>
      </c>
      <c r="AN12" s="168">
        <f>IFERROR(VLOOKUP($B12,RD[#All],AN$2,0)/AN$1,"")</f>
        <v>1.5257089394010781</v>
      </c>
      <c r="AO12" s="168">
        <f>IFERROR(VLOOKUP($B12,RD[#All],AO$2,0)/AO$1,"")</f>
        <v>1.5348630584180876</v>
      </c>
      <c r="AP12" s="168">
        <f>IFERROR(VLOOKUP($B12,RD[#All],AP$2,0)/AP$1,"")</f>
        <v>1.5260454878943506</v>
      </c>
      <c r="AQ12" s="168">
        <f>IFERROR(VLOOKUP($B12,RD[#All],AQ$2,0)/AQ$1,"")</f>
        <v>1.5232956041063437</v>
      </c>
      <c r="AR12" s="168">
        <f>IFERROR(VLOOKUP($B12,RD[#All],AR$2,0)/AR$1,"")</f>
        <v>1.5183069981185167</v>
      </c>
      <c r="AS12" s="168">
        <f>IFERROR(VLOOKUP($B12,RD[#All],AS$2,0)/AS$1,"")</f>
        <v>1.5393628364207295</v>
      </c>
      <c r="AT12" s="168">
        <f>IFERROR(VLOOKUP($B12,RD[#All],AT$2,0)/AT$1,"")</f>
        <v>1.5596991473046866</v>
      </c>
      <c r="AU12" s="168">
        <f>IFERROR(VLOOKUP($B12,RD[#All],AU$2,0)/AU$1,"")</f>
        <v>1.5611132233731631</v>
      </c>
      <c r="AV12" s="168">
        <f>IFERROR(VLOOKUP($B12,RD[#All],AV$2,0)/AV$1,"")</f>
        <v>1.5643547526524288</v>
      </c>
      <c r="AW12" s="168">
        <f>IFERROR(VLOOKUP($B12,RD[#All],AW$2,0)/AW$1,"")</f>
        <v>0.96957403651115615</v>
      </c>
      <c r="AX12" s="168">
        <f>IFERROR(VLOOKUP($B12,RD[#All],AX$2,0)/AX$1,"")</f>
        <v>1.0005387931034484</v>
      </c>
      <c r="AY12" s="168">
        <f>IFERROR(VLOOKUP($B12,RD[#All],AY$2,0)/AY$1,"")</f>
        <v>1.5636250292215383</v>
      </c>
      <c r="AZ12" s="168">
        <f>IFERROR(VLOOKUP($B12,RD[#All],AZ$2,0)/AZ$1,"")</f>
        <v>1.3397714632419861</v>
      </c>
      <c r="BA12" s="168">
        <f>IFERROR(VLOOKUP($B12,RD[#All],BA$2,0)/BA$1,"")</f>
        <v>1.5695094789638904</v>
      </c>
      <c r="BB12" s="168">
        <f>IFERROR(VLOOKUP($B12,RD[#All],BB$2,0)/BB$1,"")</f>
        <v>1.6125302919140045</v>
      </c>
      <c r="BC12" s="168">
        <f>IFERROR(VLOOKUP($B12,RD[#All],BC$2,0)/BC$1,"")</f>
        <v>1.5963278101209135</v>
      </c>
      <c r="BD12" s="168">
        <f>IFERROR(VLOOKUP($B12,RD[#All],BD$2,0)/BD$1,"")</f>
        <v>1.6269658470682165</v>
      </c>
      <c r="BE12" s="168">
        <f>IFERROR(VLOOKUP($B12,RD[#All],BE$2,0)/BE$1,"")</f>
        <v>1.5646762281995015</v>
      </c>
      <c r="BF12" s="168">
        <f>IFERROR(VLOOKUP($B12,RD[#All],BF$2,0)/BF$1,"")</f>
        <v>1.5472353087031987</v>
      </c>
      <c r="BG12" s="168">
        <f>IFERROR(VLOOKUP($B12,RD[#All],BG$2,0)/BG$1,"")</f>
        <v>1.5898306059647407</v>
      </c>
      <c r="BH12" s="168">
        <f>IFERROR(VLOOKUP($B12,RD[#All],BH$2,0)/BH$1,"")</f>
        <v>1.5738690287883581</v>
      </c>
      <c r="BI12" s="168">
        <f>IFERROR(VLOOKUP($B12,RD[#All],BI$2,0)/BI$1,"")</f>
        <v>1.5781791643860608</v>
      </c>
      <c r="BJ12" s="168">
        <f>IFERROR(VLOOKUP($B12,RD[#All],BJ$2,0)/BJ$1,"")</f>
        <v>1.5890083632019114</v>
      </c>
      <c r="BK12" s="168">
        <f>IFERROR(VLOOKUP($B12,RD[#All],BK$2,0)/BK$1,"")</f>
        <v>1.5989908096060903</v>
      </c>
      <c r="BL12" s="168">
        <f>IFERROR(VLOOKUP($B12,RD[#All],BL$2,0)/BL$1,"")</f>
        <v>1.5848267848798292</v>
      </c>
      <c r="BM12" s="168">
        <f>IFERROR(VLOOKUP($B12,RD[#All],BM$2,0)/BM$1,"")</f>
        <v>1.6071380142651803</v>
      </c>
      <c r="BN12" s="168">
        <f>IFERROR(VLOOKUP($B12,RD[#All],BN$2,0)/BN$1,"")</f>
        <v>1.6080561004653946</v>
      </c>
      <c r="BO12" s="168">
        <f>IFERROR(VLOOKUP($B12,RD[#All],BO$2,0)/BO$1,"")</f>
        <v>1.4450572878698265</v>
      </c>
      <c r="BP12" s="168">
        <f>IFERROR(VLOOKUP($B12,RD[#All],BP$2,0)/BP$1,"")</f>
        <v>1.6047582761738213</v>
      </c>
      <c r="BQ12" s="168">
        <f>IFERROR(VLOOKUP($B12,RD[#All],BQ$2,0)/BQ$1,"")</f>
        <v>1.5209097578870141</v>
      </c>
      <c r="BR12" s="168">
        <f>IFERROR(VLOOKUP($B12,RD[#All],BR$2,0)/BR$1,"")</f>
        <v>1.5514537249389657</v>
      </c>
      <c r="BS12" s="168">
        <f>IFERROR(VLOOKUP($B12,RD[#All],BS$2,0)/BS$1,"")</f>
        <v>1.4621716380048011</v>
      </c>
      <c r="BT12" s="168">
        <f>IFERROR(VLOOKUP($B12,RD[#All],BT$2,0)/BT$1,"")</f>
        <v>1.4957818721738545</v>
      </c>
      <c r="BU12" s="168">
        <f>IFERROR(VLOOKUP($B12,RD[#All],BU$2,0)/BU$1,"")</f>
        <v>0.69018653690186538</v>
      </c>
      <c r="BV12" s="168">
        <f>IFERROR(VLOOKUP($B12,RD[#All],BV$2,0)/BV$1,"")</f>
        <v>1.1389473684210527</v>
      </c>
      <c r="BW12" s="168">
        <f>IFERROR(VLOOKUP($B12,RD[#All],BW$2,0)/BW$1,"")</f>
        <v>1.5512557201023311</v>
      </c>
      <c r="BX12" s="168">
        <f>IFERROR(VLOOKUP($B12,RD[#All],BX$2,0)/BX$1,"")</f>
        <v>1.5586866853654513</v>
      </c>
      <c r="BY12" s="168">
        <f>AVERAGEIF(Inv_SY_B[[#This Row],[IS1Inv1M1]:[IS4Inv4M2]],"&gt;="&amp;0.1,Inv_SY_B[[#This Row],[IS1Inv1M1]:[IS4Inv4M2]])</f>
        <v>1.562152635632883</v>
      </c>
      <c r="BZ12" s="168">
        <f>AVERAGEIF(Inv_SY_B[[#This Row],[IS5Inv1M1]:[IS9Inv2M2]],"&gt;="&amp;0.1,Inv_SY_B[[#This Row],[IS5Inv1M1]:[IS9Inv2M2]])</f>
        <v>1.5376342444352336</v>
      </c>
      <c r="CA12" s="168">
        <f>AVERAGEIF(Inv_SY_B[[#This Row],[IS10Inv1M1]:[IS14Inv2M4]],"&gt;="&amp;0.1,Inv_SY_B[[#This Row],[IS10Inv1M1]:[IS14Inv2M4]])</f>
        <v>1.4692807866587287</v>
      </c>
    </row>
    <row r="13" spans="2:79">
      <c r="B13" s="173">
        <f t="shared" si="32"/>
        <v>45846</v>
      </c>
      <c r="C13" s="168">
        <f>IFERROR(VLOOKUP($B13,RD[#All],C$2,0)/C$1,"")</f>
        <v>1.7581226645283952</v>
      </c>
      <c r="D13" s="168">
        <f>IFERROR(VLOOKUP($B13,RD[#All],D$2,0)/D$1,"")</f>
        <v>1.7512317508245605</v>
      </c>
      <c r="E13" s="168">
        <f>IFERROR(VLOOKUP($B13,RD[#All],E$2,0)/E$1,"")</f>
        <v>1.7275012903977758</v>
      </c>
      <c r="F13" s="168">
        <f>IFERROR(VLOOKUP($B13,RD[#All],F$2,0)/F$1,"")</f>
        <v>1.7059231149975251</v>
      </c>
      <c r="G13" s="168">
        <f>IFERROR(VLOOKUP($B13,RD[#All],G$2,0)/G$1,"")</f>
        <v>1.7239456837275471</v>
      </c>
      <c r="H13" s="168">
        <f>IFERROR(VLOOKUP($B13,RD[#All],H$2,0)/H$1,"")</f>
        <v>1.7292799881051211</v>
      </c>
      <c r="I13" s="168">
        <f>IFERROR(VLOOKUP($B13,RD[#All],I$2,0)/I$1,"")</f>
        <v>1.756842153266839</v>
      </c>
      <c r="J13" s="168">
        <f>IFERROR(VLOOKUP($B13,RD[#All],J$2,0)/J$1,"")</f>
        <v>1.7655570787491064</v>
      </c>
      <c r="K13" s="168">
        <f>IFERROR(VLOOKUP($B13,RD[#All],K$2,0)/K$1,"")</f>
        <v>1.738570752484619</v>
      </c>
      <c r="L13" s="168">
        <f>IFERROR(VLOOKUP($B13,RD[#All],L$2,0)/L$1,"")</f>
        <v>1.7604782551570097</v>
      </c>
      <c r="M13" s="168">
        <f>IFERROR(VLOOKUP($B13,RD[#All],M$2,0)/M$1,"")</f>
        <v>1.78420810615516</v>
      </c>
      <c r="N13" s="168">
        <f>IFERROR(VLOOKUP($B13,RD[#All],N$2,0)/N$1,"")</f>
        <v>1.7394803692245782</v>
      </c>
      <c r="O13" s="168">
        <f>IFERROR(VLOOKUP($B13,RD[#All],O$2,0)/O$1,"")</f>
        <v>1.8228164245299416</v>
      </c>
      <c r="P13" s="168">
        <f>IFERROR(VLOOKUP($B13,RD[#All],P$2,0)/P$1,"")</f>
        <v>1.6803008230298955</v>
      </c>
      <c r="Q13" s="168">
        <f>IFERROR(VLOOKUP($B13,RD[#All],Q$2,0)/Q$1,"")</f>
        <v>1.7406145451403037</v>
      </c>
      <c r="R13" s="168">
        <f>IFERROR(VLOOKUP($B13,RD[#All],R$2,0)/R$1,"")</f>
        <v>1.7503363308079016</v>
      </c>
      <c r="S13" s="168">
        <f>IFERROR(VLOOKUP($B13,RD[#All],S$2,0)/S$1,"")</f>
        <v>1.7567057732605444</v>
      </c>
      <c r="T13" s="168">
        <f>IFERROR(VLOOKUP($B13,RD[#All],T$2,0)/T$1,"")</f>
        <v>1.7770544104488792</v>
      </c>
      <c r="U13" s="168">
        <f>IFERROR(VLOOKUP($B13,RD[#All],U$2,0)/U$1,"")</f>
        <v>1.7833331766077691</v>
      </c>
      <c r="V13" s="168">
        <f>IFERROR(VLOOKUP($B13,RD[#All],V$2,0)/V$1,"")</f>
        <v>1.7943128945931432</v>
      </c>
      <c r="W13" s="168">
        <f>IFERROR(VLOOKUP($B13,RD[#All],W$2,0)/W$1,"")</f>
        <v>1.7061953473024252</v>
      </c>
      <c r="X13" s="168">
        <f>IFERROR(VLOOKUP($B13,RD[#All],X$2,0)/X$1,"")</f>
        <v>1.6901943364044203</v>
      </c>
      <c r="Y13" s="168">
        <f>IFERROR(VLOOKUP($B13,RD[#All],Y$2,0)/Y$1,"")</f>
        <v>1.7593496829566868</v>
      </c>
      <c r="Z13" s="168">
        <f>IFERROR(VLOOKUP($B13,RD[#All],Z$2,0)/Z$1,"")</f>
        <v>1.7606689527639634</v>
      </c>
      <c r="AA13" s="168">
        <f>IFERROR(VLOOKUP($B13,RD[#All],AA$2,0)/AA$1,"")</f>
        <v>1.7404692082111437</v>
      </c>
      <c r="AB13" s="168">
        <f>IFERROR(VLOOKUP($B13,RD[#All],AB$2,0)/AB$1,"")</f>
        <v>1.7473081640997681</v>
      </c>
      <c r="AC13" s="168">
        <f>IFERROR(VLOOKUP($B13,RD[#All],AC$2,0)/AC$1,"")</f>
        <v>1.7534810576363193</v>
      </c>
      <c r="AD13" s="168">
        <f>IFERROR(VLOOKUP($B13,RD[#All],AD$2,0)/AD$1,"")</f>
        <v>1.7340353414380618</v>
      </c>
      <c r="AE13" s="168">
        <f>IFERROR(VLOOKUP($B13,RD[#All],AE$2,0)/AE$1,"")</f>
        <v>1.724398856566336</v>
      </c>
      <c r="AF13" s="168">
        <f>IFERROR(VLOOKUP($B13,RD[#All],AF$2,0)/AF$1,"")</f>
        <v>1.71208102242585</v>
      </c>
      <c r="AG13" s="168">
        <f>IFERROR(VLOOKUP($B13,RD[#All],AG$2,0)/AG$1,"")</f>
        <v>1.7239743764481394</v>
      </c>
      <c r="AH13" s="168">
        <f>IFERROR(VLOOKUP($B13,RD[#All],AH$2,0)/AH$1,"")</f>
        <v>1.7143775789078828</v>
      </c>
      <c r="AI13" s="168">
        <f>IFERROR(VLOOKUP($B13,RD[#All],AI$2,0)/AI$1,"")</f>
        <v>1.7208123211121713</v>
      </c>
      <c r="AJ13" s="168">
        <f>IFERROR(VLOOKUP($B13,RD[#All],AJ$2,0)/AJ$1,"")</f>
        <v>1.7276678696556993</v>
      </c>
      <c r="AK13" s="168">
        <f>IFERROR(VLOOKUP($B13,RD[#All],AK$2,0)/AK$1,"")</f>
        <v>1.7095265926358856</v>
      </c>
      <c r="AL13" s="168">
        <f>IFERROR(VLOOKUP($B13,RD[#All],AL$2,0)/AL$1,"")</f>
        <v>1.6366879256296616</v>
      </c>
      <c r="AM13" s="168">
        <f>IFERROR(VLOOKUP($B13,RD[#All],AM$2,0)/AM$1,"")</f>
        <v>1.6831463245539049</v>
      </c>
      <c r="AN13" s="168">
        <f>IFERROR(VLOOKUP($B13,RD[#All],AN$2,0)/AN$1,"")</f>
        <v>1.6957332382022927</v>
      </c>
      <c r="AO13" s="168">
        <f>IFERROR(VLOOKUP($B13,RD[#All],AO$2,0)/AO$1,"")</f>
        <v>1.7048200475206472</v>
      </c>
      <c r="AP13" s="168">
        <f>IFERROR(VLOOKUP($B13,RD[#All],AP$2,0)/AP$1,"")</f>
        <v>1.6931754696534222</v>
      </c>
      <c r="AQ13" s="168">
        <f>IFERROR(VLOOKUP($B13,RD[#All],AQ$2,0)/AQ$1,"")</f>
        <v>1.6911029218215319</v>
      </c>
      <c r="AR13" s="168">
        <f>IFERROR(VLOOKUP($B13,RD[#All],AR$2,0)/AR$1,"")</f>
        <v>1.6866747698096873</v>
      </c>
      <c r="AS13" s="168">
        <f>IFERROR(VLOOKUP($B13,RD[#All],AS$2,0)/AS$1,"")</f>
        <v>1.7019461726832812</v>
      </c>
      <c r="AT13" s="168">
        <f>IFERROR(VLOOKUP($B13,RD[#All],AT$2,0)/AT$1,"")</f>
        <v>1.729483983155601</v>
      </c>
      <c r="AU13" s="168">
        <f>IFERROR(VLOOKUP($B13,RD[#All],AU$2,0)/AU$1,"")</f>
        <v>1.6744788114317555</v>
      </c>
      <c r="AV13" s="168">
        <f>IFERROR(VLOOKUP($B13,RD[#All],AV$2,0)/AV$1,"")</f>
        <v>1.7314093877339023</v>
      </c>
      <c r="AW13" s="168">
        <f>IFERROR(VLOOKUP($B13,RD[#All],AW$2,0)/AW$1,"")</f>
        <v>1.8629909644108429</v>
      </c>
      <c r="AX13" s="168">
        <f>IFERROR(VLOOKUP($B13,RD[#All],AX$2,0)/AX$1,"")</f>
        <v>1.8282719435736678</v>
      </c>
      <c r="AY13" s="168">
        <f>IFERROR(VLOOKUP($B13,RD[#All],AY$2,0)/AY$1,"")</f>
        <v>1.2964492584222966</v>
      </c>
      <c r="AZ13" s="168">
        <f>IFERROR(VLOOKUP($B13,RD[#All],AZ$2,0)/AZ$1,"")</f>
        <v>1.7885529376074427</v>
      </c>
      <c r="BA13" s="168">
        <f>IFERROR(VLOOKUP($B13,RD[#All],BA$2,0)/BA$1,"")</f>
        <v>1.8031076270146087</v>
      </c>
      <c r="BB13" s="168">
        <f>IFERROR(VLOOKUP($B13,RD[#All],BB$2,0)/BB$1,"")</f>
        <v>1.872651681895996</v>
      </c>
      <c r="BC13" s="168">
        <f>IFERROR(VLOOKUP($B13,RD[#All],BC$2,0)/BC$1,"")</f>
        <v>1.8201522615315719</v>
      </c>
      <c r="BD13" s="168">
        <f>IFERROR(VLOOKUP($B13,RD[#All],BD$2,0)/BD$1,"")</f>
        <v>1.8834642940191917</v>
      </c>
      <c r="BE13" s="168">
        <f>IFERROR(VLOOKUP($B13,RD[#All],BE$2,0)/BE$1,"")</f>
        <v>1.8257726565525492</v>
      </c>
      <c r="BF13" s="168">
        <f>IFERROR(VLOOKUP($B13,RD[#All],BF$2,0)/BF$1,"")</f>
        <v>1.8190446061372985</v>
      </c>
      <c r="BG13" s="168">
        <f>IFERROR(VLOOKUP($B13,RD[#All],BG$2,0)/BG$1,"")</f>
        <v>1.8591642460671252</v>
      </c>
      <c r="BH13" s="168">
        <f>IFERROR(VLOOKUP($B13,RD[#All],BH$2,0)/BH$1,"")</f>
        <v>1.8391763250985018</v>
      </c>
      <c r="BI13" s="168">
        <f>IFERROR(VLOOKUP($B13,RD[#All],BI$2,0)/BI$1,"")</f>
        <v>1.8629290796778482</v>
      </c>
      <c r="BJ13" s="168">
        <f>IFERROR(VLOOKUP($B13,RD[#All],BJ$2,0)/BJ$1,"")</f>
        <v>1.8767080020324363</v>
      </c>
      <c r="BK13" s="168">
        <f>IFERROR(VLOOKUP($B13,RD[#All],BK$2,0)/BK$1,"")</f>
        <v>1.8849698244559638</v>
      </c>
      <c r="BL13" s="168">
        <f>IFERROR(VLOOKUP($B13,RD[#All],BL$2,0)/BL$1,"")</f>
        <v>1.8628676795615</v>
      </c>
      <c r="BM13" s="168">
        <f>IFERROR(VLOOKUP($B13,RD[#All],BM$2,0)/BM$1,"")</f>
        <v>1.8887653416983821</v>
      </c>
      <c r="BN13" s="168">
        <f>IFERROR(VLOOKUP($B13,RD[#All],BN$2,0)/BN$1,"")</f>
        <v>1.862153470899897</v>
      </c>
      <c r="BO13" s="168">
        <f>IFERROR(VLOOKUP($B13,RD[#All],BO$2,0)/BO$1,"")</f>
        <v>1.6734935284651251</v>
      </c>
      <c r="BP13" s="168">
        <f>IFERROR(VLOOKUP($B13,RD[#All],BP$2,0)/BP$1,"")</f>
        <v>1.8769816669617372</v>
      </c>
      <c r="BQ13" s="168">
        <f>IFERROR(VLOOKUP($B13,RD[#All],BQ$2,0)/BQ$1,"")</f>
        <v>1.7997065297138666</v>
      </c>
      <c r="BR13" s="168">
        <f>IFERROR(VLOOKUP($B13,RD[#All],BR$2,0)/BR$1,"")</f>
        <v>1.8415328845157948</v>
      </c>
      <c r="BS13" s="168">
        <f>IFERROR(VLOOKUP($B13,RD[#All],BS$2,0)/BS$1,"")</f>
        <v>1.7616635240842971</v>
      </c>
      <c r="BT13" s="168">
        <f>IFERROR(VLOOKUP($B13,RD[#All],BT$2,0)/BT$1,"")</f>
        <v>1.7870014172909496</v>
      </c>
      <c r="BU13" s="168">
        <f>IFERROR(VLOOKUP($B13,RD[#All],BU$2,0)/BU$1,"")</f>
        <v>0.84177541841775427</v>
      </c>
      <c r="BV13" s="168">
        <f>IFERROR(VLOOKUP($B13,RD[#All],BV$2,0)/BV$1,"")</f>
        <v>1.4873684210526317</v>
      </c>
      <c r="BW13" s="168">
        <f>IFERROR(VLOOKUP($B13,RD[#All],BW$2,0)/BW$1,"")</f>
        <v>1.8281987532879327</v>
      </c>
      <c r="BX13" s="168">
        <f>IFERROR(VLOOKUP($B13,RD[#All],BX$2,0)/BX$1,"")</f>
        <v>1.8277511961722488</v>
      </c>
      <c r="BY13" s="168">
        <f>AVERAGEIF(Inv_SY_B[[#This Row],[IS1Inv1M1]:[IS4Inv4M2]],"&gt;="&amp;0.1,Inv_SY_B[[#This Row],[IS1Inv1M1]:[IS4Inv4M2]])</f>
        <v>1.7477970598874788</v>
      </c>
      <c r="BZ13" s="168">
        <f>AVERAGEIF(Inv_SY_B[[#This Row],[IS5Inv1M1]:[IS9Inv2M2]],"&gt;="&amp;0.1,Inv_SY_B[[#This Row],[IS5Inv1M1]:[IS9Inv2M2]])</f>
        <v>1.7034165372193142</v>
      </c>
      <c r="CA13" s="168">
        <f>AVERAGEIF(Inv_SY_B[[#This Row],[IS10Inv1M1]:[IS14Inv2M4]],"&gt;="&amp;0.1,Inv_SY_B[[#This Row],[IS10Inv1M1]:[IS14Inv2M4]])</f>
        <v>1.7665237693078379</v>
      </c>
    </row>
    <row r="14" spans="2:79">
      <c r="B14" s="173">
        <f t="shared" si="32"/>
        <v>45847</v>
      </c>
      <c r="C14" s="168">
        <f>IFERROR(VLOOKUP($B14,RD[#All],C$2,0)/C$1,"")</f>
        <v>1.909472187332621</v>
      </c>
      <c r="D14" s="168">
        <f>IFERROR(VLOOKUP($B14,RD[#All],D$2,0)/D$1,"")</f>
        <v>1.9048991264200763</v>
      </c>
      <c r="E14" s="168">
        <f>IFERROR(VLOOKUP($B14,RD[#All],E$2,0)/E$1,"")</f>
        <v>1.8800845834928988</v>
      </c>
      <c r="F14" s="168">
        <f>IFERROR(VLOOKUP($B14,RD[#All],F$2,0)/F$1,"")</f>
        <v>1.8594951328163669</v>
      </c>
      <c r="G14" s="168">
        <f>IFERROR(VLOOKUP($B14,RD[#All],G$2,0)/G$1,"")</f>
        <v>1.8799864145236431</v>
      </c>
      <c r="H14" s="168">
        <f>IFERROR(VLOOKUP($B14,RD[#All],H$2,0)/H$1,"")</f>
        <v>1.8811255529260162</v>
      </c>
      <c r="I14" s="168">
        <f>IFERROR(VLOOKUP($B14,RD[#All],I$2,0)/I$1,"")</f>
        <v>1.8913073219672045</v>
      </c>
      <c r="J14" s="168">
        <f>IFERROR(VLOOKUP($B14,RD[#All],J$2,0)/J$1,"")</f>
        <v>1.9161774871993158</v>
      </c>
      <c r="K14" s="168">
        <f>IFERROR(VLOOKUP($B14,RD[#All],K$2,0)/K$1,"")</f>
        <v>1.892853762423095</v>
      </c>
      <c r="L14" s="168">
        <f>IFERROR(VLOOKUP($B14,RD[#All],L$2,0)/L$1,"")</f>
        <v>1.9262252003678884</v>
      </c>
      <c r="M14" s="168">
        <f>IFERROR(VLOOKUP($B14,RD[#All],M$2,0)/M$1,"")</f>
        <v>1.9542797083360706</v>
      </c>
      <c r="N14" s="168">
        <f>IFERROR(VLOOKUP($B14,RD[#All],N$2,0)/N$1,"")</f>
        <v>1.9045373374581858</v>
      </c>
      <c r="O14" s="168">
        <f>IFERROR(VLOOKUP($B14,RD[#All],O$2,0)/O$1,"")</f>
        <v>1.9858644506382239</v>
      </c>
      <c r="P14" s="168">
        <f>IFERROR(VLOOKUP($B14,RD[#All],P$2,0)/P$1,"")</f>
        <v>1.8447822892931405</v>
      </c>
      <c r="Q14" s="168">
        <f>IFERROR(VLOOKUP($B14,RD[#All],Q$2,0)/Q$1,"")</f>
        <v>1.9015962371764008</v>
      </c>
      <c r="R14" s="168">
        <f>IFERROR(VLOOKUP($B14,RD[#All],R$2,0)/R$1,"")</f>
        <v>1.9070117731875147</v>
      </c>
      <c r="S14" s="168">
        <f>IFERROR(VLOOKUP($B14,RD[#All],S$2,0)/S$1,"")</f>
        <v>1.9158443069678226</v>
      </c>
      <c r="T14" s="168">
        <f>IFERROR(VLOOKUP($B14,RD[#All],T$2,0)/T$1,"")</f>
        <v>1.9440631920742695</v>
      </c>
      <c r="U14" s="168">
        <f>IFERROR(VLOOKUP($B14,RD[#All],U$2,0)/U$1,"")</f>
        <v>1.9379742907384594</v>
      </c>
      <c r="V14" s="168">
        <f>IFERROR(VLOOKUP($B14,RD[#All],V$2,0)/V$1,"")</f>
        <v>1.9493296147371937</v>
      </c>
      <c r="W14" s="168">
        <f>IFERROR(VLOOKUP($B14,RD[#All],W$2,0)/W$1,"")</f>
        <v>1.8866523675961062</v>
      </c>
      <c r="X14" s="168">
        <f>IFERROR(VLOOKUP($B14,RD[#All],X$2,0)/X$1,"")</f>
        <v>1.8705260409425535</v>
      </c>
      <c r="Y14" s="168">
        <f>IFERROR(VLOOKUP($B14,RD[#All],Y$2,0)/Y$1,"")</f>
        <v>1.9463662664080801</v>
      </c>
      <c r="Z14" s="168">
        <f>IFERROR(VLOOKUP($B14,RD[#All],Z$2,0)/Z$1,"")</f>
        <v>1.9514264169913282</v>
      </c>
      <c r="AA14" s="168">
        <f>IFERROR(VLOOKUP($B14,RD[#All],AA$2,0)/AA$1,"")</f>
        <v>1.923432917888563</v>
      </c>
      <c r="AB14" s="168">
        <f>IFERROR(VLOOKUP($B14,RD[#All],AB$2,0)/AB$1,"")</f>
        <v>1.9208577529417106</v>
      </c>
      <c r="AC14" s="168">
        <f>IFERROR(VLOOKUP($B14,RD[#All],AC$2,0)/AC$1,"")</f>
        <v>1.9356376857442839</v>
      </c>
      <c r="AD14" s="168">
        <f>IFERROR(VLOOKUP($B14,RD[#All],AD$2,0)/AD$1,"")</f>
        <v>1.9175667736249828</v>
      </c>
      <c r="AE14" s="168">
        <f>IFERROR(VLOOKUP($B14,RD[#All],AE$2,0)/AE$1,"")</f>
        <v>1.9390729219214171</v>
      </c>
      <c r="AF14" s="168">
        <f>IFERROR(VLOOKUP($B14,RD[#All],AF$2,0)/AF$1,"")</f>
        <v>1.9234252337700612</v>
      </c>
      <c r="AG14" s="168">
        <f>IFERROR(VLOOKUP($B14,RD[#All],AG$2,0)/AG$1,"")</f>
        <v>1.9345781654627232</v>
      </c>
      <c r="AH14" s="168">
        <f>IFERROR(VLOOKUP($B14,RD[#All],AH$2,0)/AH$1,"")</f>
        <v>1.9214404372756015</v>
      </c>
      <c r="AI14" s="168">
        <f>IFERROR(VLOOKUP($B14,RD[#All],AI$2,0)/AI$1,"")</f>
        <v>1.9349597928308573</v>
      </c>
      <c r="AJ14" s="168">
        <f>IFERROR(VLOOKUP($B14,RD[#All],AJ$2,0)/AJ$1,"")</f>
        <v>1.9434682964094729</v>
      </c>
      <c r="AK14" s="168">
        <f>IFERROR(VLOOKUP($B14,RD[#All],AK$2,0)/AK$1,"")</f>
        <v>1.9207268476701558</v>
      </c>
      <c r="AL14" s="168">
        <f>IFERROR(VLOOKUP($B14,RD[#All],AL$2,0)/AL$1,"")</f>
        <v>1.8772024645984215</v>
      </c>
      <c r="AM14" s="168">
        <f>IFERROR(VLOOKUP($B14,RD[#All],AM$2,0)/AM$1,"")</f>
        <v>1.9041240652365599</v>
      </c>
      <c r="AN14" s="168">
        <f>IFERROR(VLOOKUP($B14,RD[#All],AN$2,0)/AN$1,"")</f>
        <v>1.9187975795432362</v>
      </c>
      <c r="AO14" s="168">
        <f>IFERROR(VLOOKUP($B14,RD[#All],AO$2,0)/AO$1,"")</f>
        <v>1.9276151500669731</v>
      </c>
      <c r="AP14" s="168">
        <f>IFERROR(VLOOKUP($B14,RD[#All],AP$2,0)/AP$1,"")</f>
        <v>1.9119319902804794</v>
      </c>
      <c r="AQ14" s="168">
        <f>IFERROR(VLOOKUP($B14,RD[#All],AQ$2,0)/AQ$1,"")</f>
        <v>1.9112266385891024</v>
      </c>
      <c r="AR14" s="168">
        <f>IFERROR(VLOOKUP($B14,RD[#All],AR$2,0)/AR$1,"")</f>
        <v>1.9077240713298591</v>
      </c>
      <c r="AS14" s="168">
        <f>IFERROR(VLOOKUP($B14,RD[#All],AS$2,0)/AS$1,"")</f>
        <v>1.9148183298768555</v>
      </c>
      <c r="AT14" s="168">
        <f>IFERROR(VLOOKUP($B14,RD[#All],AT$2,0)/AT$1,"")</f>
        <v>1.9482097588569272</v>
      </c>
      <c r="AU14" s="168">
        <f>IFERROR(VLOOKUP($B14,RD[#All],AU$2,0)/AU$1,"")</f>
        <v>1.954845319533651</v>
      </c>
      <c r="AV14" s="168">
        <f>IFERROR(VLOOKUP($B14,RD[#All],AV$2,0)/AV$1,"")</f>
        <v>1.9551719416205902</v>
      </c>
      <c r="AW14" s="168">
        <f>IFERROR(VLOOKUP($B14,RD[#All],AW$2,0)/AW$1,"")</f>
        <v>1.9704038355153974</v>
      </c>
      <c r="AX14" s="168">
        <f>IFERROR(VLOOKUP($B14,RD[#All],AX$2,0)/AX$1,"")</f>
        <v>1.8894004702194358</v>
      </c>
      <c r="AY14" s="168">
        <f>IFERROR(VLOOKUP($B14,RD[#All],AY$2,0)/AY$1,"")</f>
        <v>1.8796851866282243</v>
      </c>
      <c r="AZ14" s="168">
        <f>IFERROR(VLOOKUP($B14,RD[#All],AZ$2,0)/AZ$1,"")</f>
        <v>2.0237637779350792</v>
      </c>
      <c r="BA14" s="168">
        <f>IFERROR(VLOOKUP($B14,RD[#All],BA$2,0)/BA$1,"")</f>
        <v>1.8966696480244118</v>
      </c>
      <c r="BB14" s="168">
        <f>IFERROR(VLOOKUP($B14,RD[#All],BB$2,0)/BB$1,"")</f>
        <v>1.9679850596945241</v>
      </c>
      <c r="BC14" s="168">
        <f>IFERROR(VLOOKUP($B14,RD[#All],BC$2,0)/BC$1,"")</f>
        <v>1.9508284818629646</v>
      </c>
      <c r="BD14" s="168">
        <f>IFERROR(VLOOKUP($B14,RD[#All],BD$2,0)/BD$1,"")</f>
        <v>1.9832431624728892</v>
      </c>
      <c r="BE14" s="168">
        <f>IFERROR(VLOOKUP($B14,RD[#All],BE$2,0)/BE$1,"")</f>
        <v>1.9321679224388026</v>
      </c>
      <c r="BF14" s="168">
        <f>IFERROR(VLOOKUP($B14,RD[#All],BF$2,0)/BF$1,"")</f>
        <v>1.9225014321502776</v>
      </c>
      <c r="BG14" s="168">
        <f>IFERROR(VLOOKUP($B14,RD[#All],BG$2,0)/BG$1,"")</f>
        <v>1.9712547812832533</v>
      </c>
      <c r="BH14" s="168">
        <f>IFERROR(VLOOKUP($B14,RD[#All],BH$2,0)/BH$1,"")</f>
        <v>1.9491817894222199</v>
      </c>
      <c r="BI14" s="168">
        <f>IFERROR(VLOOKUP($B14,RD[#All],BI$2,0)/BI$1,"")</f>
        <v>1.9583235593087809</v>
      </c>
      <c r="BJ14" s="168">
        <f>IFERROR(VLOOKUP($B14,RD[#All],BJ$2,0)/BJ$1,"")</f>
        <v>1.9716694818659963</v>
      </c>
      <c r="BK14" s="168">
        <f>IFERROR(VLOOKUP($B14,RD[#All],BK$2,0)/BK$1,"")</f>
        <v>1.9829464352790926</v>
      </c>
      <c r="BL14" s="168">
        <f>IFERROR(VLOOKUP($B14,RD[#All],BL$2,0)/BL$1,"")</f>
        <v>1.9623890172899381</v>
      </c>
      <c r="BM14" s="168">
        <f>IFERROR(VLOOKUP($B14,RD[#All],BM$2,0)/BM$1,"")</f>
        <v>1.9833844095498965</v>
      </c>
      <c r="BN14" s="168">
        <f>IFERROR(VLOOKUP($B14,RD[#All],BN$2,0)/BN$1,"")</f>
        <v>1.9655297386542101</v>
      </c>
      <c r="BO14" s="168">
        <f>IFERROR(VLOOKUP($B14,RD[#All],BO$2,0)/BO$1,"")</f>
        <v>1.7578366779912795</v>
      </c>
      <c r="BP14" s="168">
        <f>IFERROR(VLOOKUP($B14,RD[#All],BP$2,0)/BP$1,"")</f>
        <v>1.9680002930355767</v>
      </c>
      <c r="BQ14" s="168">
        <f>IFERROR(VLOOKUP($B14,RD[#All],BQ$2,0)/BQ$1,"")</f>
        <v>1.8896151537384112</v>
      </c>
      <c r="BR14" s="168">
        <f>IFERROR(VLOOKUP($B14,RD[#All],BR$2,0)/BR$1,"")</f>
        <v>1.9346748538876968</v>
      </c>
      <c r="BS14" s="168">
        <f>IFERROR(VLOOKUP($B14,RD[#All],BS$2,0)/BS$1,"")</f>
        <v>1.8339807810263751</v>
      </c>
      <c r="BT14" s="168">
        <f>IFERROR(VLOOKUP($B14,RD[#All],BT$2,0)/BT$1,"")</f>
        <v>1.8745360059391238</v>
      </c>
      <c r="BU14" s="168">
        <f>IFERROR(VLOOKUP($B14,RD[#All],BU$2,0)/BU$1,"")</f>
        <v>0.88166334881663344</v>
      </c>
      <c r="BV14" s="168">
        <f>IFERROR(VLOOKUP($B14,RD[#All],BV$2,0)/BV$1,"")</f>
        <v>1.5905263157894736</v>
      </c>
      <c r="BW14" s="168">
        <f>IFERROR(VLOOKUP($B14,RD[#All],BW$2,0)/BW$1,"")</f>
        <v>1.925341404532843</v>
      </c>
      <c r="BX14" s="168">
        <f>IFERROR(VLOOKUP($B14,RD[#All],BX$2,0)/BX$1,"")</f>
        <v>1.9260188087774295</v>
      </c>
      <c r="BY14" s="168">
        <f>AVERAGEIF(Inv_SY_B[[#This Row],[IS1Inv1M1]:[IS4Inv4M2]],"&gt;="&amp;0.1,Inv_SY_B[[#This Row],[IS1Inv1M1]:[IS4Inv4M2]])</f>
        <v>1.9121205782933575</v>
      </c>
      <c r="BZ14" s="168">
        <f>AVERAGEIF(Inv_SY_B[[#This Row],[IS5Inv1M1]:[IS9Inv2M2]],"&gt;="&amp;0.1,Inv_SY_B[[#This Row],[IS5Inv1M1]:[IS9Inv2M2]])</f>
        <v>1.9249632780484969</v>
      </c>
      <c r="CA14" s="168">
        <f>AVERAGEIF(Inv_SY_B[[#This Row],[IS10Inv1M1]:[IS14Inv2M4]],"&gt;="&amp;0.1,Inv_SY_B[[#This Row],[IS10Inv1M1]:[IS14Inv2M4]])</f>
        <v>1.8836972083260801</v>
      </c>
    </row>
    <row r="15" spans="2:79">
      <c r="B15" s="173">
        <f t="shared" si="32"/>
        <v>45848</v>
      </c>
      <c r="C15" s="168">
        <f>IFERROR(VLOOKUP($B15,RD[#All],C$2,0)/C$1,"")</f>
        <v>2.1943801466511723</v>
      </c>
      <c r="D15" s="168">
        <f>IFERROR(VLOOKUP($B15,RD[#All],D$2,0)/D$1,"")</f>
        <v>2.1884915476678954</v>
      </c>
      <c r="E15" s="168">
        <f>IFERROR(VLOOKUP($B15,RD[#All],E$2,0)/E$1,"")</f>
        <v>2.1664030370136036</v>
      </c>
      <c r="F15" s="168">
        <f>IFERROR(VLOOKUP($B15,RD[#All],F$2,0)/F$1,"")</f>
        <v>2.1359511631743935</v>
      </c>
      <c r="G15" s="168">
        <f>IFERROR(VLOOKUP($B15,RD[#All],G$2,0)/G$1,"")</f>
        <v>2.1636152746893607</v>
      </c>
      <c r="H15" s="168">
        <f>IFERROR(VLOOKUP($B15,RD[#All],H$2,0)/H$1,"")</f>
        <v>2.1677797464903912</v>
      </c>
      <c r="I15" s="168">
        <f>IFERROR(VLOOKUP($B15,RD[#All],I$2,0)/I$1,"")</f>
        <v>2.2025837638520622</v>
      </c>
      <c r="J15" s="168">
        <f>IFERROR(VLOOKUP($B15,RD[#All],J$2,0)/J$1,"")</f>
        <v>2.2095094145078327</v>
      </c>
      <c r="K15" s="168">
        <f>IFERROR(VLOOKUP($B15,RD[#All],K$2,0)/K$1,"")</f>
        <v>2.123426407950781</v>
      </c>
      <c r="L15" s="168">
        <f>IFERROR(VLOOKUP($B15,RD[#All],L$2,0)/L$1,"")</f>
        <v>2.2093680199710946</v>
      </c>
      <c r="M15" s="168">
        <f>IFERROR(VLOOKUP($B15,RD[#All],M$2,0)/M$1,"")</f>
        <v>2.236812717598371</v>
      </c>
      <c r="N15" s="168">
        <f>IFERROR(VLOOKUP($B15,RD[#All],N$2,0)/N$1,"")</f>
        <v>2.1829648633013909</v>
      </c>
      <c r="O15" s="168">
        <f>IFERROR(VLOOKUP($B15,RD[#All],O$2,0)/O$1,"")</f>
        <v>2.2752698692654794</v>
      </c>
      <c r="P15" s="168">
        <f>IFERROR(VLOOKUP($B15,RD[#All],P$2,0)/P$1,"")</f>
        <v>2.1132319798787247</v>
      </c>
      <c r="Q15" s="168">
        <f>IFERROR(VLOOKUP($B15,RD[#All],Q$2,0)/Q$1,"")</f>
        <v>2.1781909312000791</v>
      </c>
      <c r="R15" s="168">
        <f>IFERROR(VLOOKUP($B15,RD[#All],R$2,0)/R$1,"")</f>
        <v>2.1835432852922052</v>
      </c>
      <c r="S15" s="168">
        <f>IFERROR(VLOOKUP($B15,RD[#All],S$2,0)/S$1,"")</f>
        <v>2.1841206925548988</v>
      </c>
      <c r="T15" s="168">
        <f>IFERROR(VLOOKUP($B15,RD[#All],T$2,0)/T$1,"")</f>
        <v>2.2141113310903551</v>
      </c>
      <c r="U15" s="168">
        <f>IFERROR(VLOOKUP($B15,RD[#All],U$2,0)/U$1,"")</f>
        <v>2.2051757050299501</v>
      </c>
      <c r="V15" s="168">
        <f>IFERROR(VLOOKUP($B15,RD[#All],V$2,0)/V$1,"")</f>
        <v>2.2192437350229484</v>
      </c>
      <c r="W15" s="168">
        <f>IFERROR(VLOOKUP($B15,RD[#All],W$2,0)/W$1,"")</f>
        <v>2.1191635043722155</v>
      </c>
      <c r="X15" s="168">
        <f>IFERROR(VLOOKUP($B15,RD[#All],X$2,0)/X$1,"")</f>
        <v>2.1194231284397134</v>
      </c>
      <c r="Y15" s="168">
        <f>IFERROR(VLOOKUP($B15,RD[#All],Y$2,0)/Y$1,"")</f>
        <v>2.2079785795175808</v>
      </c>
      <c r="Z15" s="168">
        <f>IFERROR(VLOOKUP($B15,RD[#All],Z$2,0)/Z$1,"")</f>
        <v>2.2132803102389631</v>
      </c>
      <c r="AA15" s="168">
        <f>IFERROR(VLOOKUP($B15,RD[#All],AA$2,0)/AA$1,"")</f>
        <v>2.2024376832844577</v>
      </c>
      <c r="AB15" s="168">
        <f>IFERROR(VLOOKUP($B15,RD[#All],AB$2,0)/AB$1,"")</f>
        <v>2.1825450910908177</v>
      </c>
      <c r="AC15" s="168">
        <f>IFERROR(VLOOKUP($B15,RD[#All],AC$2,0)/AC$1,"")</f>
        <v>2.196516420688738</v>
      </c>
      <c r="AD15" s="168">
        <f>IFERROR(VLOOKUP($B15,RD[#All],AD$2,0)/AD$1,"")</f>
        <v>2.1761648664527495</v>
      </c>
      <c r="AE15" s="168">
        <f>IFERROR(VLOOKUP($B15,RD[#All],AE$2,0)/AE$1,"")</f>
        <v>2.1618182837284907</v>
      </c>
      <c r="AF15" s="168">
        <f>IFERROR(VLOOKUP($B15,RD[#All],AF$2,0)/AF$1,"")</f>
        <v>2.1507381507381504</v>
      </c>
      <c r="AG15" s="168">
        <f>IFERROR(VLOOKUP($B15,RD[#All],AG$2,0)/AG$1,"")</f>
        <v>2.1684067057380401</v>
      </c>
      <c r="AH15" s="168">
        <f>IFERROR(VLOOKUP($B15,RD[#All],AH$2,0)/AH$1,"")</f>
        <v>2.1532608113177214</v>
      </c>
      <c r="AI15" s="168">
        <f>IFERROR(VLOOKUP($B15,RD[#All],AI$2,0)/AI$1,"")</f>
        <v>2.1637726591249828</v>
      </c>
      <c r="AJ15" s="168">
        <f>IFERROR(VLOOKUP($B15,RD[#All],AJ$2,0)/AJ$1,"")</f>
        <v>2.1750744184821262</v>
      </c>
      <c r="AK15" s="168">
        <f>IFERROR(VLOOKUP($B15,RD[#All],AK$2,0)/AK$1,"")</f>
        <v>2.1456883268689233</v>
      </c>
      <c r="AL15" s="168">
        <f>IFERROR(VLOOKUP($B15,RD[#All],AL$2,0)/AL$1,"")</f>
        <v>1.9965949627067343</v>
      </c>
      <c r="AM15" s="168">
        <f>IFERROR(VLOOKUP($B15,RD[#All],AM$2,0)/AM$1,"")</f>
        <v>2.1446889282276684</v>
      </c>
      <c r="AN15" s="168">
        <f>IFERROR(VLOOKUP($B15,RD[#All],AN$2,0)/AN$1,"")</f>
        <v>2.1627279274670688</v>
      </c>
      <c r="AO15" s="168">
        <f>IFERROR(VLOOKUP($B15,RD[#All],AO$2,0)/AO$1,"")</f>
        <v>2.1702666137163704</v>
      </c>
      <c r="AP15" s="168">
        <f>IFERROR(VLOOKUP($B15,RD[#All],AP$2,0)/AP$1,"")</f>
        <v>2.1513525883944618</v>
      </c>
      <c r="AQ15" s="168">
        <f>IFERROR(VLOOKUP($B15,RD[#All],AQ$2,0)/AQ$1,"")</f>
        <v>2.152145301395104</v>
      </c>
      <c r="AR15" s="168">
        <f>IFERROR(VLOOKUP($B15,RD[#All],AR$2,0)/AR$1,"")</f>
        <v>2.1486871243277443</v>
      </c>
      <c r="AS15" s="168">
        <f>IFERROR(VLOOKUP($B15,RD[#All],AS$2,0)/AS$1,"")</f>
        <v>2.141047722825641</v>
      </c>
      <c r="AT15" s="168">
        <f>IFERROR(VLOOKUP($B15,RD[#All],AT$2,0)/AT$1,"")</f>
        <v>2.1730950535291527</v>
      </c>
      <c r="AU15" s="168">
        <f>IFERROR(VLOOKUP($B15,RD[#All],AU$2,0)/AU$1,"")</f>
        <v>2.1763522750029747</v>
      </c>
      <c r="AV15" s="168">
        <f>IFERROR(VLOOKUP($B15,RD[#All],AV$2,0)/AV$1,"")</f>
        <v>2.1836090033854769</v>
      </c>
      <c r="AW15" s="168">
        <f>IFERROR(VLOOKUP($B15,RD[#All],AW$2,0)/AW$1,"")</f>
        <v>2.3008482389821134</v>
      </c>
      <c r="AX15" s="168">
        <f>IFERROR(VLOOKUP($B15,RD[#All],AX$2,0)/AX$1,"")</f>
        <v>2.3259208463949848</v>
      </c>
      <c r="AY15" s="168">
        <f>IFERROR(VLOOKUP($B15,RD[#All],AY$2,0)/AY$1,"")</f>
        <v>2.2120574560378192</v>
      </c>
      <c r="AZ15" s="168">
        <f>IFERROR(VLOOKUP($B15,RD[#All],AZ$2,0)/AZ$1,"")</f>
        <v>2.3679846293861866</v>
      </c>
      <c r="BA15" s="168">
        <f>IFERROR(VLOOKUP($B15,RD[#All],BA$2,0)/BA$1,"")</f>
        <v>2.226197365882745</v>
      </c>
      <c r="BB15" s="168">
        <f>IFERROR(VLOOKUP($B15,RD[#All],BB$2,0)/BB$1,"")</f>
        <v>2.3135240890193205</v>
      </c>
      <c r="BC15" s="168">
        <f>IFERROR(VLOOKUP($B15,RD[#All],BC$2,0)/BC$1,"")</f>
        <v>2.2879086430810567</v>
      </c>
      <c r="BD15" s="168">
        <f>IFERROR(VLOOKUP($B15,RD[#All],BD$2,0)/BD$1,"")</f>
        <v>2.293278255280057</v>
      </c>
      <c r="BE15" s="168">
        <f>IFERROR(VLOOKUP($B15,RD[#All],BE$2,0)/BE$1,"")</f>
        <v>2.2756765203448674</v>
      </c>
      <c r="BF15" s="168">
        <f>IFERROR(VLOOKUP($B15,RD[#All],BF$2,0)/BF$1,"")</f>
        <v>2.2797267371769117</v>
      </c>
      <c r="BG15" s="168">
        <f>IFERROR(VLOOKUP($B15,RD[#All],BG$2,0)/BG$1,"")</f>
        <v>2.3226251761525409</v>
      </c>
      <c r="BH15" s="168">
        <f>IFERROR(VLOOKUP($B15,RD[#All],BH$2,0)/BH$1,"")</f>
        <v>2.2576284835063705</v>
      </c>
      <c r="BI15" s="168">
        <f>IFERROR(VLOOKUP($B15,RD[#All],BI$2,0)/BI$1,"")</f>
        <v>2.3309093752443504</v>
      </c>
      <c r="BJ15" s="168">
        <f>IFERROR(VLOOKUP($B15,RD[#All],BJ$2,0)/BJ$1,"")</f>
        <v>2.3489061920652574</v>
      </c>
      <c r="BK15" s="168">
        <f>IFERROR(VLOOKUP($B15,RD[#All],BK$2,0)/BK$1,"")</f>
        <v>2.3572609120276464</v>
      </c>
      <c r="BL15" s="168">
        <f>IFERROR(VLOOKUP($B15,RD[#All],BL$2,0)/BL$1,"")</f>
        <v>2.3271321941423864</v>
      </c>
      <c r="BM15" s="168">
        <f>IFERROR(VLOOKUP($B15,RD[#All],BM$2,0)/BM$1,"")</f>
        <v>2.3425752658524606</v>
      </c>
      <c r="BN15" s="168">
        <f>IFERROR(VLOOKUP($B15,RD[#All],BN$2,0)/BN$1,"")</f>
        <v>2.3154673217090163</v>
      </c>
      <c r="BO15" s="168">
        <f>IFERROR(VLOOKUP($B15,RD[#All],BO$2,0)/BO$1,"")</f>
        <v>2.1116047480846731</v>
      </c>
      <c r="BP15" s="168">
        <f>IFERROR(VLOOKUP($B15,RD[#All],BP$2,0)/BP$1,"")</f>
        <v>2.329299839218927</v>
      </c>
      <c r="BQ15" s="168">
        <f>IFERROR(VLOOKUP($B15,RD[#All],BQ$2,0)/BQ$1,"")</f>
        <v>2.2500500233442273</v>
      </c>
      <c r="BR15" s="168">
        <f>IFERROR(VLOOKUP($B15,RD[#All],BR$2,0)/BR$1,"")</f>
        <v>2.3031737811644595</v>
      </c>
      <c r="BS15" s="168">
        <f>IFERROR(VLOOKUP($B15,RD[#All],BS$2,0)/BS$1,"")</f>
        <v>2.2048812255313992</v>
      </c>
      <c r="BT15" s="168">
        <f>IFERROR(VLOOKUP($B15,RD[#All],BT$2,0)/BT$1,"")</f>
        <v>2.2387797799824525</v>
      </c>
      <c r="BU15" s="168">
        <f>IFERROR(VLOOKUP($B15,RD[#All],BU$2,0)/BU$1,"")</f>
        <v>1.0732876207328763</v>
      </c>
      <c r="BV15" s="168">
        <f>IFERROR(VLOOKUP($B15,RD[#All],BV$2,0)/BV$1,"")</f>
        <v>2.0568421052631578</v>
      </c>
      <c r="BW15" s="168">
        <f>IFERROR(VLOOKUP($B15,RD[#All],BW$2,0)/BW$1,"")</f>
        <v>2.2955356177710518</v>
      </c>
      <c r="BX15" s="168">
        <f>IFERROR(VLOOKUP($B15,RD[#All],BX$2,0)/BX$1,"")</f>
        <v>2.2932189407688504</v>
      </c>
      <c r="BY15" s="168">
        <f>AVERAGEIF(Inv_SY_B[[#This Row],[IS1Inv1M1]:[IS4Inv4M2]],"&gt;="&amp;0.1,Inv_SY_B[[#This Row],[IS1Inv1M1]:[IS4Inv4M2]])</f>
        <v>2.1847029720102937</v>
      </c>
      <c r="BZ15" s="168">
        <f>AVERAGEIF(Inv_SY_B[[#This Row],[IS5Inv1M1]:[IS9Inv2M2]],"&gt;="&amp;0.1,Inv_SY_B[[#This Row],[IS5Inv1M1]:[IS9Inv2M2]])</f>
        <v>2.1510737142764906</v>
      </c>
      <c r="CA15" s="168">
        <f>AVERAGEIF(Inv_SY_B[[#This Row],[IS10Inv1M1]:[IS14Inv2M4]],"&gt;="&amp;0.1,Inv_SY_B[[#This Row],[IS10Inv1M1]:[IS14Inv2M4]])</f>
        <v>2.2372250494338632</v>
      </c>
    </row>
    <row r="16" spans="2:79">
      <c r="B16" s="173">
        <f t="shared" si="32"/>
        <v>45849</v>
      </c>
      <c r="C16" s="168">
        <f>IFERROR(VLOOKUP($B16,RD[#All],C$2,0)/C$1,"")</f>
        <v>4.9266900748917024</v>
      </c>
      <c r="D16" s="168">
        <f>IFERROR(VLOOKUP($B16,RD[#All],D$2,0)/D$1,"")</f>
        <v>4.8842169886080669</v>
      </c>
      <c r="E16" s="168">
        <f>IFERROR(VLOOKUP($B16,RD[#All],E$2,0)/E$1,"")</f>
        <v>4.9315506418688297</v>
      </c>
      <c r="F16" s="168">
        <f>IFERROR(VLOOKUP($B16,RD[#All],F$2,0)/F$1,"")</f>
        <v>4.8826266292690974</v>
      </c>
      <c r="G16" s="168">
        <f>IFERROR(VLOOKUP($B16,RD[#All],G$2,0)/G$1,"")</f>
        <v>4.6962172138238625</v>
      </c>
      <c r="H16" s="168">
        <f>IFERROR(VLOOKUP($B16,RD[#All],H$2,0)/H$1,"")</f>
        <v>4.6627306181619934</v>
      </c>
      <c r="I16" s="168">
        <f>IFERROR(VLOOKUP($B16,RD[#All],I$2,0)/I$1,"")</f>
        <v>4.8706489377642557</v>
      </c>
      <c r="J16" s="168">
        <f>IFERROR(VLOOKUP($B16,RD[#All],J$2,0)/J$1,"")</f>
        <v>4.6885655031811311</v>
      </c>
      <c r="K16" s="168">
        <f>IFERROR(VLOOKUP($B16,RD[#All],K$2,0)/K$1,"")</f>
        <v>4.8814639533049373</v>
      </c>
      <c r="L16" s="168">
        <f>IFERROR(VLOOKUP($B16,RD[#All],L$2,0)/L$1,"")</f>
        <v>4.9849559847589013</v>
      </c>
      <c r="M16" s="168">
        <f>IFERROR(VLOOKUP($B16,RD[#All],M$2,0)/M$1,"")</f>
        <v>5.057413124876831</v>
      </c>
      <c r="N16" s="168">
        <f>IFERROR(VLOOKUP($B16,RD[#All],N$2,0)/N$1,"")</f>
        <v>4.9320279685102744</v>
      </c>
      <c r="O16" s="168">
        <f>IFERROR(VLOOKUP($B16,RD[#All],O$2,0)/O$1,"")</f>
        <v>5.2016375609096697</v>
      </c>
      <c r="P16" s="168">
        <f>IFERROR(VLOOKUP($B16,RD[#All],P$2,0)/P$1,"")</f>
        <v>4.8140400682330382</v>
      </c>
      <c r="Q16" s="168">
        <f>IFERROR(VLOOKUP($B16,RD[#All],Q$2,0)/Q$1,"")</f>
        <v>4.9430885275853989</v>
      </c>
      <c r="R16" s="168">
        <f>IFERROR(VLOOKUP($B16,RD[#All],R$2,0)/R$1,"")</f>
        <v>5.0097519841908422</v>
      </c>
      <c r="S16" s="168">
        <f>IFERROR(VLOOKUP($B16,RD[#All],S$2,0)/S$1,"")</f>
        <v>4.9260217184779798</v>
      </c>
      <c r="T16" s="168">
        <f>IFERROR(VLOOKUP($B16,RD[#All],T$2,0)/T$1,"")</f>
        <v>4.7646694440733137</v>
      </c>
      <c r="U16" s="168">
        <f>IFERROR(VLOOKUP($B16,RD[#All],U$2,0)/U$1,"")</f>
        <v>4.9625739352848797</v>
      </c>
      <c r="V16" s="168">
        <f>IFERROR(VLOOKUP($B16,RD[#All],V$2,0)/V$1,"")</f>
        <v>4.9316978730893686</v>
      </c>
      <c r="W16" s="168">
        <f>IFERROR(VLOOKUP($B16,RD[#All],W$2,0)/W$1,"")</f>
        <v>4.6903976241544294</v>
      </c>
      <c r="X16" s="168">
        <f>IFERROR(VLOOKUP($B16,RD[#All],X$2,0)/X$1,"")</f>
        <v>4.7877084174010935</v>
      </c>
      <c r="Y16" s="168">
        <f>IFERROR(VLOOKUP($B16,RD[#All],Y$2,0)/Y$1,"")</f>
        <v>4.8587632789110025</v>
      </c>
      <c r="Z16" s="168">
        <f>IFERROR(VLOOKUP($B16,RD[#All],Z$2,0)/Z$1,"")</f>
        <v>4.8547550225318234</v>
      </c>
      <c r="AA16" s="168">
        <f>IFERROR(VLOOKUP($B16,RD[#All],AA$2,0)/AA$1,"")</f>
        <v>4.9060667155425222</v>
      </c>
      <c r="AB16" s="168">
        <f>IFERROR(VLOOKUP($B16,RD[#All],AB$2,0)/AB$1,"")</f>
        <v>4.8861932670028612</v>
      </c>
      <c r="AC16" s="168">
        <f>IFERROR(VLOOKUP($B16,RD[#All],AC$2,0)/AC$1,"")</f>
        <v>4.8495018545772988</v>
      </c>
      <c r="AD16" s="168">
        <f>IFERROR(VLOOKUP($B16,RD[#All],AD$2,0)/AD$1,"")</f>
        <v>4.7943688706105654</v>
      </c>
      <c r="AE16" s="168">
        <f>IFERROR(VLOOKUP($B16,RD[#All],AE$2,0)/AE$1,"")</f>
        <v>4.9539263494198753</v>
      </c>
      <c r="AF16" s="168">
        <f>IFERROR(VLOOKUP($B16,RD[#All],AF$2,0)/AF$1,"")</f>
        <v>4.8786003268761888</v>
      </c>
      <c r="AG16" s="168">
        <f>IFERROR(VLOOKUP($B16,RD[#All],AG$2,0)/AG$1,"")</f>
        <v>4.9240834128390354</v>
      </c>
      <c r="AH16" s="168">
        <f>IFERROR(VLOOKUP($B16,RD[#All],AH$2,0)/AH$1,"")</f>
        <v>4.8589035957344198</v>
      </c>
      <c r="AI16" s="168">
        <f>IFERROR(VLOOKUP($B16,RD[#All],AI$2,0)/AI$1,"")</f>
        <v>4.9552133024396898</v>
      </c>
      <c r="AJ16" s="168">
        <f>IFERROR(VLOOKUP($B16,RD[#All],AJ$2,0)/AJ$1,"")</f>
        <v>4.963146387081478</v>
      </c>
      <c r="AK16" s="168">
        <f>IFERROR(VLOOKUP($B16,RD[#All],AK$2,0)/AK$1,"")</f>
        <v>4.8687636151107805</v>
      </c>
      <c r="AL16" s="168">
        <f>IFERROR(VLOOKUP($B16,RD[#All],AL$2,0)/AL$1,"")</f>
        <v>4.7785644795157278</v>
      </c>
      <c r="AM16" s="168">
        <f>IFERROR(VLOOKUP($B16,RD[#All],AM$2,0)/AM$1,"")</f>
        <v>4.9356182732369902</v>
      </c>
      <c r="AN16" s="168">
        <f>IFERROR(VLOOKUP($B16,RD[#All],AN$2,0)/AN$1,"")</f>
        <v>4.9529841754898465</v>
      </c>
      <c r="AO16" s="168">
        <f>IFERROR(VLOOKUP($B16,RD[#All],AO$2,0)/AO$1,"")</f>
        <v>4.9849562823507236</v>
      </c>
      <c r="AP16" s="168">
        <f>IFERROR(VLOOKUP($B16,RD[#All],AP$2,0)/AP$1,"")</f>
        <v>4.7581225978851291</v>
      </c>
      <c r="AQ16" s="168">
        <f>IFERROR(VLOOKUP($B16,RD[#All],AQ$2,0)/AQ$1,"")</f>
        <v>4.9107001842590154</v>
      </c>
      <c r="AR16" s="168">
        <f>IFERROR(VLOOKUP($B16,RD[#All],AR$2,0)/AR$1,"")</f>
        <v>4.906175593999234</v>
      </c>
      <c r="AS16" s="168">
        <f>IFERROR(VLOOKUP($B16,RD[#All],AS$2,0)/AS$1,"")</f>
        <v>4.9351002378525308</v>
      </c>
      <c r="AT16" s="168">
        <f>IFERROR(VLOOKUP($B16,RD[#All],AT$2,0)/AT$1,"")</f>
        <v>4.8730175357733962</v>
      </c>
      <c r="AU16" s="168">
        <f>IFERROR(VLOOKUP($B16,RD[#All],AU$2,0)/AU$1,"")</f>
        <v>5.0698159042690589</v>
      </c>
      <c r="AV16" s="168">
        <f>IFERROR(VLOOKUP($B16,RD[#All],AV$2,0)/AV$1,"")</f>
        <v>4.9455821178825889</v>
      </c>
      <c r="AW16" s="168">
        <f>IFERROR(VLOOKUP($B16,RD[#All],AW$2,0)/AW$1,"")</f>
        <v>4.1432325281209668</v>
      </c>
      <c r="AX16" s="168">
        <f>IFERROR(VLOOKUP($B16,RD[#All],AX$2,0)/AX$1,"")</f>
        <v>4.2567104231974922</v>
      </c>
      <c r="AY16" s="168">
        <f>IFERROR(VLOOKUP($B16,RD[#All],AY$2,0)/AY$1,"")</f>
        <v>4.6736278864386085</v>
      </c>
      <c r="AZ16" s="168">
        <f>IFERROR(VLOOKUP($B16,RD[#All],AZ$2,0)/AZ$1,"")</f>
        <v>4.9668318333501871</v>
      </c>
      <c r="BA16" s="168">
        <f>IFERROR(VLOOKUP($B16,RD[#All],BA$2,0)/BA$1,"")</f>
        <v>4.5580137142456287</v>
      </c>
      <c r="BB16" s="168">
        <f>IFERROR(VLOOKUP($B16,RD[#All],BB$2,0)/BB$1,"")</f>
        <v>4.6543942728829011</v>
      </c>
      <c r="BC16" s="168">
        <f>IFERROR(VLOOKUP($B16,RD[#All],BC$2,0)/BC$1,"")</f>
        <v>4.6593819973130319</v>
      </c>
      <c r="BD16" s="168">
        <f>IFERROR(VLOOKUP($B16,RD[#All],BD$2,0)/BD$1,"")</f>
        <v>4.6798809196455178</v>
      </c>
      <c r="BE16" s="168">
        <f>IFERROR(VLOOKUP($B16,RD[#All],BE$2,0)/BE$1,"")</f>
        <v>4.7232432212083948</v>
      </c>
      <c r="BF16" s="168">
        <f>IFERROR(VLOOKUP($B16,RD[#All],BF$2,0)/BF$1,"")</f>
        <v>4.7598690116880569</v>
      </c>
      <c r="BG16" s="168">
        <f>IFERROR(VLOOKUP($B16,RD[#All],BG$2,0)/BG$1,"")</f>
        <v>4.746771735066579</v>
      </c>
      <c r="BH16" s="168">
        <f>IFERROR(VLOOKUP($B16,RD[#All],BH$2,0)/BH$1,"")</f>
        <v>4.7208880964021747</v>
      </c>
      <c r="BI16" s="168">
        <f>IFERROR(VLOOKUP($B16,RD[#All],BI$2,0)/BI$1,"")</f>
        <v>4.7256105507337036</v>
      </c>
      <c r="BJ16" s="168">
        <f>IFERROR(VLOOKUP($B16,RD[#All],BJ$2,0)/BJ$1,"")</f>
        <v>4.7912632692017185</v>
      </c>
      <c r="BK16" s="168">
        <f>IFERROR(VLOOKUP($B16,RD[#All],BK$2,0)/BK$1,"")</f>
        <v>4.6952395262063957</v>
      </c>
      <c r="BL16" s="168">
        <f>IFERROR(VLOOKUP($B16,RD[#All],BL$2,0)/BL$1,"")</f>
        <v>4.71033986284242</v>
      </c>
      <c r="BM16" s="168">
        <f>IFERROR(VLOOKUP($B16,RD[#All],BM$2,0)/BM$1,"")</f>
        <v>4.6676731242673801</v>
      </c>
      <c r="BN16" s="168">
        <f>IFERROR(VLOOKUP($B16,RD[#All],BN$2,0)/BN$1,"")</f>
        <v>4.613676501889767</v>
      </c>
      <c r="BO16" s="168">
        <f>IFERROR(VLOOKUP($B16,RD[#All],BO$2,0)/BO$1,"")</f>
        <v>4.2133061909412266</v>
      </c>
      <c r="BP16" s="168">
        <f>IFERROR(VLOOKUP($B16,RD[#All],BP$2,0)/BP$1,"")</f>
        <v>4.6547147370810436</v>
      </c>
      <c r="BQ16" s="168">
        <f>IFERROR(VLOOKUP($B16,RD[#All],BQ$2,0)/BQ$1,"")</f>
        <v>4.7221369972653902</v>
      </c>
      <c r="BR16" s="168">
        <f>IFERROR(VLOOKUP($B16,RD[#All],BR$2,0)/BR$1,"")</f>
        <v>4.8288081674927872</v>
      </c>
      <c r="BS16" s="168">
        <f>IFERROR(VLOOKUP($B16,RD[#All],BS$2,0)/BS$1,"")</f>
        <v>4.6796459104780519</v>
      </c>
      <c r="BT16" s="168">
        <f>IFERROR(VLOOKUP($B16,RD[#All],BT$2,0)/BT$1,"")</f>
        <v>4.7201862725248018</v>
      </c>
      <c r="BU16" s="168">
        <f>IFERROR(VLOOKUP($B16,RD[#All],BU$2,0)/BU$1,"")</f>
        <v>2.3443191034431909</v>
      </c>
      <c r="BV16" s="168">
        <f>IFERROR(VLOOKUP($B16,RD[#All],BV$2,0)/BV$1,"")</f>
        <v>5.0657894736842106</v>
      </c>
      <c r="BW16" s="168">
        <f>IFERROR(VLOOKUP($B16,RD[#All],BW$2,0)/BW$1,"")</f>
        <v>4.7893200735055661</v>
      </c>
      <c r="BX16" s="168">
        <f>IFERROR(VLOOKUP($B16,RD[#All],BX$2,0)/BX$1,"")</f>
        <v>4.6187097838640492</v>
      </c>
      <c r="BY16" s="168">
        <f>AVERAGEIF(Inv_SY_B[[#This Row],[IS1Inv1M1]:[IS4Inv4M2]],"&gt;="&amp;0.1,Inv_SY_B[[#This Row],[IS1Inv1M1]:[IS4Inv4M2]])</f>
        <v>4.8778694214855705</v>
      </c>
      <c r="BZ16" s="168">
        <f>AVERAGEIF(Inv_SY_B[[#This Row],[IS5Inv1M1]:[IS9Inv2M2]],"&gt;="&amp;0.1,Inv_SY_B[[#This Row],[IS5Inv1M1]:[IS9Inv2M2]])</f>
        <v>4.9140707984453176</v>
      </c>
      <c r="CA16" s="168">
        <f>AVERAGEIF(Inv_SY_B[[#This Row],[IS10Inv1M1]:[IS14Inv2M4]],"&gt;="&amp;0.1,Inv_SY_B[[#This Row],[IS10Inv1M1]:[IS14Inv2M4]])</f>
        <v>4.5851280423207594</v>
      </c>
    </row>
    <row r="17" spans="2:79">
      <c r="B17" s="173">
        <f t="shared" si="32"/>
        <v>45850</v>
      </c>
      <c r="C17" s="168">
        <f>IFERROR(VLOOKUP($B17,RD[#All],C$2,0)/C$1,"")</f>
        <v>3.689144618353009</v>
      </c>
      <c r="D17" s="168">
        <f>IFERROR(VLOOKUP($B17,RD[#All],D$2,0)/D$1,"")</f>
        <v>3.6904601564237414</v>
      </c>
      <c r="E17" s="168">
        <f>IFERROR(VLOOKUP($B17,RD[#All],E$2,0)/E$1,"")</f>
        <v>3.6796483457933031</v>
      </c>
      <c r="F17" s="168">
        <f>IFERROR(VLOOKUP($B17,RD[#All],F$2,0)/F$1,"")</f>
        <v>3.6697574657647256</v>
      </c>
      <c r="G17" s="168">
        <f>IFERROR(VLOOKUP($B17,RD[#All],G$2,0)/G$1,"")</f>
        <v>3.6647463296784983</v>
      </c>
      <c r="H17" s="168">
        <f>IFERROR(VLOOKUP($B17,RD[#All],H$2,0)/H$1,"")</f>
        <v>3.637292923786041</v>
      </c>
      <c r="I17" s="168">
        <f>IFERROR(VLOOKUP($B17,RD[#All],I$2,0)/I$1,"")</f>
        <v>3.7190954872082189</v>
      </c>
      <c r="J17" s="168">
        <f>IFERROR(VLOOKUP($B17,RD[#All],J$2,0)/J$1,"")</f>
        <v>3.6834920969688447</v>
      </c>
      <c r="K17" s="168">
        <f>IFERROR(VLOOKUP($B17,RD[#All],K$2,0)/K$1,"")</f>
        <v>3.6087079981069565</v>
      </c>
      <c r="L17" s="168">
        <f>IFERROR(VLOOKUP($B17,RD[#All],L$2,0)/L$1,"")</f>
        <v>3.7571935356720534</v>
      </c>
      <c r="M17" s="168">
        <f>IFERROR(VLOOKUP($B17,RD[#All],M$2,0)/M$1,"")</f>
        <v>3.8081192931748018</v>
      </c>
      <c r="N17" s="168">
        <f>IFERROR(VLOOKUP($B17,RD[#All],N$2,0)/N$1,"")</f>
        <v>3.7042556402324007</v>
      </c>
      <c r="O17" s="168">
        <f>IFERROR(VLOOKUP($B17,RD[#All],O$2,0)/O$1,"")</f>
        <v>3.8551556777146243</v>
      </c>
      <c r="P17" s="168">
        <f>IFERROR(VLOOKUP($B17,RD[#All],P$2,0)/P$1,"")</f>
        <v>3.613923026160148</v>
      </c>
      <c r="Q17" s="168">
        <f>IFERROR(VLOOKUP($B17,RD[#All],Q$2,0)/Q$1,"")</f>
        <v>3.706714566127181</v>
      </c>
      <c r="R17" s="168">
        <f>IFERROR(VLOOKUP($B17,RD[#All],R$2,0)/R$1,"")</f>
        <v>3.7230050272604966</v>
      </c>
      <c r="S17" s="168">
        <f>IFERROR(VLOOKUP($B17,RD[#All],S$2,0)/S$1,"")</f>
        <v>3.6687773015086571</v>
      </c>
      <c r="T17" s="168">
        <f>IFERROR(VLOOKUP($B17,RD[#All],T$2,0)/T$1,"")</f>
        <v>3.6858939322167026</v>
      </c>
      <c r="U17" s="168">
        <f>IFERROR(VLOOKUP($B17,RD[#All],U$2,0)/U$1,"")</f>
        <v>3.7001965338574236</v>
      </c>
      <c r="V17" s="168">
        <f>IFERROR(VLOOKUP($B17,RD[#All],V$2,0)/V$1,"")</f>
        <v>3.7117817220168874</v>
      </c>
      <c r="W17" s="168">
        <f>IFERROR(VLOOKUP($B17,RD[#All],W$2,0)/W$1,"")</f>
        <v>3.6096766210196334</v>
      </c>
      <c r="X17" s="168">
        <f>IFERROR(VLOOKUP($B17,RD[#All],X$2,0)/X$1,"")</f>
        <v>3.7503433355600686</v>
      </c>
      <c r="Y17" s="168">
        <f>IFERROR(VLOOKUP($B17,RD[#All],Y$2,0)/Y$1,"")</f>
        <v>3.8116262969432713</v>
      </c>
      <c r="Z17" s="168">
        <f>IFERROR(VLOOKUP($B17,RD[#All],Z$2,0)/Z$1,"")</f>
        <v>3.8245749474855923</v>
      </c>
      <c r="AA17" s="168">
        <f>IFERROR(VLOOKUP($B17,RD[#All],AA$2,0)/AA$1,"")</f>
        <v>3.7768053519061584</v>
      </c>
      <c r="AB17" s="168">
        <f>IFERROR(VLOOKUP($B17,RD[#All],AB$2,0)/AB$1,"")</f>
        <v>3.6999681977193215</v>
      </c>
      <c r="AC17" s="168">
        <f>IFERROR(VLOOKUP($B17,RD[#All],AC$2,0)/AC$1,"")</f>
        <v>3.7885185847443248</v>
      </c>
      <c r="AD17" s="168">
        <f>IFERROR(VLOOKUP($B17,RD[#All],AD$2,0)/AD$1,"")</f>
        <v>3.759840918335065</v>
      </c>
      <c r="AE17" s="168">
        <f>IFERROR(VLOOKUP($B17,RD[#All],AE$2,0)/AE$1,"")</f>
        <v>3.9192309848102687</v>
      </c>
      <c r="AF17" s="168">
        <f>IFERROR(VLOOKUP($B17,RD[#All],AF$2,0)/AF$1,"")</f>
        <v>3.8614259303914475</v>
      </c>
      <c r="AG17" s="168">
        <f>IFERROR(VLOOKUP($B17,RD[#All],AG$2,0)/AG$1,"")</f>
        <v>3.913643178410795</v>
      </c>
      <c r="AH17" s="168">
        <f>IFERROR(VLOOKUP($B17,RD[#All],AH$2,0)/AH$1,"")</f>
        <v>3.878302341782327</v>
      </c>
      <c r="AI17" s="168">
        <f>IFERROR(VLOOKUP($B17,RD[#All],AI$2,0)/AI$1,"")</f>
        <v>3.9023033937576668</v>
      </c>
      <c r="AJ17" s="168">
        <f>IFERROR(VLOOKUP($B17,RD[#All],AJ$2,0)/AJ$1,"")</f>
        <v>3.9080635388951821</v>
      </c>
      <c r="AK17" s="168">
        <f>IFERROR(VLOOKUP($B17,RD[#All],AK$2,0)/AK$1,"")</f>
        <v>3.8559587694596464</v>
      </c>
      <c r="AL17" s="168">
        <f>IFERROR(VLOOKUP($B17,RD[#All],AL$2,0)/AL$1,"")</f>
        <v>3.8722300291860337</v>
      </c>
      <c r="AM17" s="168">
        <f>IFERROR(VLOOKUP($B17,RD[#All],AM$2,0)/AM$1,"")</f>
        <v>3.8862600712136608</v>
      </c>
      <c r="AN17" s="168">
        <f>IFERROR(VLOOKUP($B17,RD[#All],AN$2,0)/AN$1,"")</f>
        <v>3.9117704470037089</v>
      </c>
      <c r="AO17" s="168">
        <f>IFERROR(VLOOKUP($B17,RD[#All],AO$2,0)/AO$1,"")</f>
        <v>3.946233012714802</v>
      </c>
      <c r="AP17" s="168">
        <f>IFERROR(VLOOKUP($B17,RD[#All],AP$2,0)/AP$1,"")</f>
        <v>3.7503617896302677</v>
      </c>
      <c r="AQ17" s="168">
        <f>IFERROR(VLOOKUP($B17,RD[#All],AQ$2,0)/AQ$1,"")</f>
        <v>3.9000394840747563</v>
      </c>
      <c r="AR17" s="168">
        <f>IFERROR(VLOOKUP($B17,RD[#All],AR$2,0)/AR$1,"")</f>
        <v>3.8892422451256268</v>
      </c>
      <c r="AS17" s="168">
        <f>IFERROR(VLOOKUP($B17,RD[#All],AS$2,0)/AS$1,"")</f>
        <v>3.8159044840474761</v>
      </c>
      <c r="AT17" s="168">
        <f>IFERROR(VLOOKUP($B17,RD[#All],AT$2,0)/AT$1,"")</f>
        <v>3.8212482453751231</v>
      </c>
      <c r="AU17" s="168">
        <f>IFERROR(VLOOKUP($B17,RD[#All],AU$2,0)/AU$1,"")</f>
        <v>3.9158436100525611</v>
      </c>
      <c r="AV17" s="168">
        <f>IFERROR(VLOOKUP($B17,RD[#All],AV$2,0)/AV$1,"")</f>
        <v>3.8795110181455885</v>
      </c>
      <c r="AW17" s="168">
        <f>IFERROR(VLOOKUP($B17,RD[#All],AW$2,0)/AW$1,"")</f>
        <v>3.7165775401069521</v>
      </c>
      <c r="AX17" s="168">
        <f>IFERROR(VLOOKUP($B17,RD[#All],AX$2,0)/AX$1,"")</f>
        <v>3.8009404388714736</v>
      </c>
      <c r="AY17" s="168">
        <f>IFERROR(VLOOKUP($B17,RD[#All],AY$2,0)/AY$1,"")</f>
        <v>3.8047741499779213</v>
      </c>
      <c r="AZ17" s="168">
        <f>IFERROR(VLOOKUP($B17,RD[#All],AZ$2,0)/AZ$1,"")</f>
        <v>4.0833249064617254</v>
      </c>
      <c r="BA17" s="168">
        <f>IFERROR(VLOOKUP($B17,RD[#All],BA$2,0)/BA$1,"")</f>
        <v>3.7644025885200185</v>
      </c>
      <c r="BB17" s="168">
        <f>IFERROR(VLOOKUP($B17,RD[#All],BB$2,0)/BB$1,"")</f>
        <v>3.9067120211654331</v>
      </c>
      <c r="BC17" s="168">
        <f>IFERROR(VLOOKUP($B17,RD[#All],BC$2,0)/BC$1,"")</f>
        <v>3.9977608598298255</v>
      </c>
      <c r="BD17" s="168">
        <f>IFERROR(VLOOKUP($B17,RD[#All],BD$2,0)/BD$1,"")</f>
        <v>3.9933651694384</v>
      </c>
      <c r="BE17" s="168">
        <f>IFERROR(VLOOKUP($B17,RD[#All],BE$2,0)/BE$1,"")</f>
        <v>4.0574235496341391</v>
      </c>
      <c r="BF17" s="168">
        <f>IFERROR(VLOOKUP($B17,RD[#All],BF$2,0)/BF$1,"")</f>
        <v>4.0741469086929385</v>
      </c>
      <c r="BG17" s="168">
        <f>IFERROR(VLOOKUP($B17,RD[#All],BG$2,0)/BG$1,"")</f>
        <v>4.1672658249690837</v>
      </c>
      <c r="BH17" s="168">
        <f>IFERROR(VLOOKUP($B17,RD[#All],BH$2,0)/BH$1,"")</f>
        <v>4.1320353167869781</v>
      </c>
      <c r="BI17" s="168">
        <f>IFERROR(VLOOKUP($B17,RD[#All],BI$2,0)/BI$1,"")</f>
        <v>4.1474444183803785</v>
      </c>
      <c r="BJ17" s="168">
        <f>IFERROR(VLOOKUP($B17,RD[#All],BJ$2,0)/BJ$1,"")</f>
        <v>4.2042598772298438</v>
      </c>
      <c r="BK17" s="168">
        <f>IFERROR(VLOOKUP($B17,RD[#All],BK$2,0)/BK$1,"")</f>
        <v>4.1769964690857186</v>
      </c>
      <c r="BL17" s="168">
        <f>IFERROR(VLOOKUP($B17,RD[#All],BL$2,0)/BL$1,"")</f>
        <v>4.1248310789477012</v>
      </c>
      <c r="BM17" s="168">
        <f>IFERROR(VLOOKUP($B17,RD[#All],BM$2,0)/BM$1,"")</f>
        <v>4.1638416546886159</v>
      </c>
      <c r="BN17" s="168">
        <f>IFERROR(VLOOKUP($B17,RD[#All],BN$2,0)/BN$1,"")</f>
        <v>4.1206689255656359</v>
      </c>
      <c r="BO17" s="168">
        <f>IFERROR(VLOOKUP($B17,RD[#All],BO$2,0)/BO$1,"")</f>
        <v>3.6438661403243331</v>
      </c>
      <c r="BP17" s="168">
        <f>IFERROR(VLOOKUP($B17,RD[#All],BP$2,0)/BP$1,"")</f>
        <v>4.1363525617580805</v>
      </c>
      <c r="BQ17" s="168">
        <f>IFERROR(VLOOKUP($B17,RD[#All],BQ$2,0)/BQ$1,"")</f>
        <v>4.1085840058694059</v>
      </c>
      <c r="BR17" s="168">
        <f>IFERROR(VLOOKUP($B17,RD[#All],BR$2,0)/BR$1,"")</f>
        <v>4.182141007620034</v>
      </c>
      <c r="BS17" s="168">
        <f>IFERROR(VLOOKUP($B17,RD[#All],BS$2,0)/BS$1,"")</f>
        <v>3.9785850049599798</v>
      </c>
      <c r="BT17" s="168">
        <f>IFERROR(VLOOKUP($B17,RD[#All],BT$2,0)/BT$1,"")</f>
        <v>3.9468178443679558</v>
      </c>
      <c r="BU17" s="168">
        <f>IFERROR(VLOOKUP($B17,RD[#All],BU$2,0)/BU$1,"")</f>
        <v>2.0106171201061711</v>
      </c>
      <c r="BV17" s="168">
        <f>IFERROR(VLOOKUP($B17,RD[#All],BV$2,0)/BV$1,"")</f>
        <v>4.2526315789473683</v>
      </c>
      <c r="BW17" s="168">
        <f>IFERROR(VLOOKUP($B17,RD[#All],BW$2,0)/BW$1,"")</f>
        <v>4.202068244874428</v>
      </c>
      <c r="BX17" s="168">
        <f>IFERROR(VLOOKUP($B17,RD[#All],BX$2,0)/BX$1,"")</f>
        <v>4.1438706484078534</v>
      </c>
      <c r="BY17" s="168">
        <f>AVERAGEIF(Inv_SY_B[[#This Row],[IS1Inv1M1]:[IS4Inv4M2]],"&gt;="&amp;0.1,Inv_SY_B[[#This Row],[IS1Inv1M1]:[IS4Inv4M2]])</f>
        <v>3.714239854704934</v>
      </c>
      <c r="BZ17" s="168">
        <f>AVERAGEIF(Inv_SY_B[[#This Row],[IS5Inv1M1]:[IS9Inv2M2]],"&gt;="&amp;0.1,Inv_SY_B[[#This Row],[IS5Inv1M1]:[IS9Inv2M2]])</f>
        <v>3.8793095874487187</v>
      </c>
      <c r="CA17" s="168">
        <f>AVERAGEIF(Inv_SY_B[[#This Row],[IS10Inv1M1]:[IS14Inv2M4]],"&gt;="&amp;0.1,Inv_SY_B[[#This Row],[IS10Inv1M1]:[IS14Inv2M4]])</f>
        <v>3.9657966376995861</v>
      </c>
    </row>
    <row r="18" spans="2:79">
      <c r="B18" s="173">
        <f t="shared" si="32"/>
        <v>45851</v>
      </c>
      <c r="C18" s="168">
        <f>IFERROR(VLOOKUP($B18,RD[#All],C$2,0)/C$1,"")</f>
        <v>3.3660234103131916</v>
      </c>
      <c r="D18" s="168">
        <f>IFERROR(VLOOKUP($B18,RD[#All],D$2,0)/D$1,"")</f>
        <v>3.3604480346800893</v>
      </c>
      <c r="E18" s="168">
        <f>IFERROR(VLOOKUP($B18,RD[#All],E$2,0)/E$1,"")</f>
        <v>3.3081469887943529</v>
      </c>
      <c r="F18" s="168">
        <f>IFERROR(VLOOKUP($B18,RD[#All],F$2,0)/F$1,"")</f>
        <v>3.2677775944563603</v>
      </c>
      <c r="G18" s="168">
        <f>IFERROR(VLOOKUP($B18,RD[#All],G$2,0)/G$1,"")</f>
        <v>3.2589763471730038</v>
      </c>
      <c r="H18" s="168">
        <f>IFERROR(VLOOKUP($B18,RD[#All],H$2,0)/H$1,"")</f>
        <v>3.2728883492138223</v>
      </c>
      <c r="I18" s="168">
        <f>IFERROR(VLOOKUP($B18,RD[#All],I$2,0)/I$1,"")</f>
        <v>3.3465149156009564</v>
      </c>
      <c r="J18" s="168">
        <f>IFERROR(VLOOKUP($B18,RD[#All],J$2,0)/J$1,"")</f>
        <v>3.375865584027558</v>
      </c>
      <c r="K18" s="168">
        <f>IFERROR(VLOOKUP($B18,RD[#All],K$2,0)/K$1,"")</f>
        <v>3.2553399589840666</v>
      </c>
      <c r="L18" s="168">
        <f>IFERROR(VLOOKUP($B18,RD[#All],L$2,0)/L$1,"")</f>
        <v>3.3491656812508213</v>
      </c>
      <c r="M18" s="168">
        <f>IFERROR(VLOOKUP($B18,RD[#All],M$2,0)/M$1,"")</f>
        <v>3.3865860868422781</v>
      </c>
      <c r="N18" s="168">
        <f>IFERROR(VLOOKUP($B18,RD[#All],N$2,0)/N$1,"")</f>
        <v>3.31579013556679</v>
      </c>
      <c r="O18" s="168">
        <f>IFERROR(VLOOKUP($B18,RD[#All],O$2,0)/O$1,"")</f>
        <v>3.4542622286019582</v>
      </c>
      <c r="P18" s="168">
        <f>IFERROR(VLOOKUP($B18,RD[#All],P$2,0)/P$1,"")</f>
        <v>3.189520999091056</v>
      </c>
      <c r="Q18" s="168">
        <f>IFERROR(VLOOKUP($B18,RD[#All],Q$2,0)/Q$1,"")</f>
        <v>3.3306173845413136</v>
      </c>
      <c r="R18" s="168">
        <f>IFERROR(VLOOKUP($B18,RD[#All],R$2,0)/R$1,"")</f>
        <v>3.3773406371296333</v>
      </c>
      <c r="S18" s="168">
        <f>IFERROR(VLOOKUP($B18,RD[#All],S$2,0)/S$1,"")</f>
        <v>3.3073178270612784</v>
      </c>
      <c r="T18" s="168">
        <f>IFERROR(VLOOKUP($B18,RD[#All],T$2,0)/T$1,"")</f>
        <v>3.3226852582866719</v>
      </c>
      <c r="U18" s="168">
        <f>IFERROR(VLOOKUP($B18,RD[#All],U$2,0)/U$1,"")</f>
        <v>3.3586131668280941</v>
      </c>
      <c r="V18" s="168">
        <f>IFERROR(VLOOKUP($B18,RD[#All],V$2,0)/V$1,"")</f>
        <v>3.3782814128860186</v>
      </c>
      <c r="W18" s="168">
        <f>IFERROR(VLOOKUP($B18,RD[#All],W$2,0)/W$1,"")</f>
        <v>3.1445718528295661</v>
      </c>
      <c r="X18" s="168">
        <f>IFERROR(VLOOKUP($B18,RD[#All],X$2,0)/X$1,"")</f>
        <v>3.2064319890403894</v>
      </c>
      <c r="Y18" s="168">
        <f>IFERROR(VLOOKUP($B18,RD[#All],Y$2,0)/Y$1,"")</f>
        <v>3.3362217973582018</v>
      </c>
      <c r="Z18" s="168">
        <f>IFERROR(VLOOKUP($B18,RD[#All],Z$2,0)/Z$1,"")</f>
        <v>3.3378965511050467</v>
      </c>
      <c r="AA18" s="168">
        <f>IFERROR(VLOOKUP($B18,RD[#All],AA$2,0)/AA$1,"")</f>
        <v>3.3174486803519061</v>
      </c>
      <c r="AB18" s="168">
        <f>IFERROR(VLOOKUP($B18,RD[#All],AB$2,0)/AB$1,"")</f>
        <v>3.2756349098178177</v>
      </c>
      <c r="AC18" s="168">
        <f>IFERROR(VLOOKUP($B18,RD[#All],AC$2,0)/AC$1,"")</f>
        <v>3.3059616980500577</v>
      </c>
      <c r="AD18" s="168">
        <f>IFERROR(VLOOKUP($B18,RD[#All],AD$2,0)/AD$1,"")</f>
        <v>3.2857142857142856</v>
      </c>
      <c r="AE18" s="168">
        <f>IFERROR(VLOOKUP($B18,RD[#All],AE$2,0)/AE$1,"")</f>
        <v>3.1924780001121014</v>
      </c>
      <c r="AF18" s="168">
        <f>IFERROR(VLOOKUP($B18,RD[#All],AF$2,0)/AF$1,"")</f>
        <v>3.1393510703855529</v>
      </c>
      <c r="AG18" s="168">
        <f>IFERROR(VLOOKUP($B18,RD[#All],AG$2,0)/AG$1,"")</f>
        <v>3.1620008177729315</v>
      </c>
      <c r="AH18" s="168">
        <f>IFERROR(VLOOKUP($B18,RD[#All],AH$2,0)/AH$1,"")</f>
        <v>3.1337013021810196</v>
      </c>
      <c r="AI18" s="168">
        <f>IFERROR(VLOOKUP($B18,RD[#All],AI$2,0)/AI$1,"")</f>
        <v>3.1626550361183048</v>
      </c>
      <c r="AJ18" s="168">
        <f>IFERROR(VLOOKUP($B18,RD[#All],AJ$2,0)/AJ$1,"")</f>
        <v>3.163984088933379</v>
      </c>
      <c r="AK18" s="168">
        <f>IFERROR(VLOOKUP($B18,RD[#All],AK$2,0)/AK$1,"")</f>
        <v>3.1139153073694277</v>
      </c>
      <c r="AL18" s="168">
        <f>IFERROR(VLOOKUP($B18,RD[#All],AL$2,0)/AL$1,"")</f>
        <v>2.9355745324829745</v>
      </c>
      <c r="AM18" s="168">
        <f>IFERROR(VLOOKUP($B18,RD[#All],AM$2,0)/AM$1,"")</f>
        <v>3.1442379532466833</v>
      </c>
      <c r="AN18" s="168">
        <f>IFERROR(VLOOKUP($B18,RD[#All],AN$2,0)/AN$1,"")</f>
        <v>3.1625461912807014</v>
      </c>
      <c r="AO18" s="168">
        <f>IFERROR(VLOOKUP($B18,RD[#All],AO$2,0)/AO$1,"")</f>
        <v>3.1920951489900178</v>
      </c>
      <c r="AP18" s="168">
        <f>IFERROR(VLOOKUP($B18,RD[#All],AP$2,0)/AP$1,"")</f>
        <v>3.0029548957709311</v>
      </c>
      <c r="AQ18" s="168">
        <f>IFERROR(VLOOKUP($B18,RD[#All],AQ$2,0)/AQ$1,"")</f>
        <v>3.1550408002105814</v>
      </c>
      <c r="AR18" s="168">
        <f>IFERROR(VLOOKUP($B18,RD[#All],AR$2,0)/AR$1,"")</f>
        <v>3.1387801994705211</v>
      </c>
      <c r="AS18" s="168">
        <f>IFERROR(VLOOKUP($B18,RD[#All],AS$2,0)/AS$1,"")</f>
        <v>3.1199221999601621</v>
      </c>
      <c r="AT18" s="168">
        <f>IFERROR(VLOOKUP($B18,RD[#All],AT$2,0)/AT$1,"")</f>
        <v>3.147514194129601</v>
      </c>
      <c r="AU18" s="168">
        <f>IFERROR(VLOOKUP($B18,RD[#All],AU$2,0)/AU$1,"")</f>
        <v>3.1450388769086546</v>
      </c>
      <c r="AV18" s="168">
        <f>IFERROR(VLOOKUP($B18,RD[#All],AV$2,0)/AV$1,"")</f>
        <v>3.1214380486054383</v>
      </c>
      <c r="AW18" s="168">
        <f>IFERROR(VLOOKUP($B18,RD[#All],AW$2,0)/AW$1,"")</f>
        <v>3.3039830352203579</v>
      </c>
      <c r="AX18" s="168">
        <f>IFERROR(VLOOKUP($B18,RD[#All],AX$2,0)/AX$1,"")</f>
        <v>3.3694161442006272</v>
      </c>
      <c r="AY18" s="168">
        <f>IFERROR(VLOOKUP($B18,RD[#All],AY$2,0)/AY$1,"")</f>
        <v>3.3377490324424008</v>
      </c>
      <c r="AZ18" s="168">
        <f>IFERROR(VLOOKUP($B18,RD[#All],AZ$2,0)/AZ$1,"")</f>
        <v>3.5615330164829611</v>
      </c>
      <c r="BA18" s="168">
        <f>IFERROR(VLOOKUP($B18,RD[#All],BA$2,0)/BA$1,"")</f>
        <v>3.3079917924975009</v>
      </c>
      <c r="BB18" s="168">
        <f>IFERROR(VLOOKUP($B18,RD[#All],BB$2,0)/BB$1,"")</f>
        <v>3.4224860490451103</v>
      </c>
      <c r="BC18" s="168">
        <f>IFERROR(VLOOKUP($B18,RD[#All],BC$2,0)/BC$1,"")</f>
        <v>3.4451410658307209</v>
      </c>
      <c r="BD18" s="168">
        <f>IFERROR(VLOOKUP($B18,RD[#All],BD$2,0)/BD$1,"")</f>
        <v>3.4217476377120799</v>
      </c>
      <c r="BE18" s="168">
        <f>IFERROR(VLOOKUP($B18,RD[#All],BE$2,0)/BE$1,"")</f>
        <v>3.460903476529857</v>
      </c>
      <c r="BF18" s="168">
        <f>IFERROR(VLOOKUP($B18,RD[#All],BF$2,0)/BF$1,"")</f>
        <v>3.4764913600725054</v>
      </c>
      <c r="BG18" s="168">
        <f>IFERROR(VLOOKUP($B18,RD[#All],BG$2,0)/BG$1,"")</f>
        <v>3.5352736475798801</v>
      </c>
      <c r="BH18" s="168">
        <f>IFERROR(VLOOKUP($B18,RD[#All],BH$2,0)/BH$1,"")</f>
        <v>3.5029190992493748</v>
      </c>
      <c r="BI18" s="168">
        <f>IFERROR(VLOOKUP($B18,RD[#All],BI$2,0)/BI$1,"")</f>
        <v>3.5427580994083456</v>
      </c>
      <c r="BJ18" s="168">
        <f>IFERROR(VLOOKUP($B18,RD[#All],BJ$2,0)/BJ$1,"")</f>
        <v>3.5663769071258873</v>
      </c>
      <c r="BK18" s="168">
        <f>IFERROR(VLOOKUP($B18,RD[#All],BK$2,0)/BK$1,"")</f>
        <v>3.5709813938346731</v>
      </c>
      <c r="BL18" s="168">
        <f>IFERROR(VLOOKUP($B18,RD[#All],BL$2,0)/BL$1,"")</f>
        <v>3.5362911883201353</v>
      </c>
      <c r="BM18" s="168">
        <f>IFERROR(VLOOKUP($B18,RD[#All],BM$2,0)/BM$1,"")</f>
        <v>3.4930708106202371</v>
      </c>
      <c r="BN18" s="168">
        <f>IFERROR(VLOOKUP($B18,RD[#All],BN$2,0)/BN$1,"")</f>
        <v>3.4234400078236908</v>
      </c>
      <c r="BO18" s="168">
        <f>IFERROR(VLOOKUP($B18,RD[#All],BO$2,0)/BO$1,"")</f>
        <v>3.1949163033162318</v>
      </c>
      <c r="BP18" s="168">
        <f>IFERROR(VLOOKUP($B18,RD[#All],BP$2,0)/BP$1,"")</f>
        <v>3.4797974724571534</v>
      </c>
      <c r="BQ18" s="168">
        <f>IFERROR(VLOOKUP($B18,RD[#All],BQ$2,0)/BQ$1,"")</f>
        <v>3.426265590608951</v>
      </c>
      <c r="BR18" s="168">
        <f>IFERROR(VLOOKUP($B18,RD[#All],BR$2,0)/BR$1,"")</f>
        <v>3.5126137456536211</v>
      </c>
      <c r="BS18" s="168">
        <f>IFERROR(VLOOKUP($B18,RD[#All],BS$2,0)/BS$1,"")</f>
        <v>3.3561265211234543</v>
      </c>
      <c r="BT18" s="168">
        <f>IFERROR(VLOOKUP($B18,RD[#All],BT$2,0)/BT$1,"")</f>
        <v>3.342107039211716</v>
      </c>
      <c r="BU18" s="168">
        <f>IFERROR(VLOOKUP($B18,RD[#All],BU$2,0)/BU$1,"")</f>
        <v>1.6721964167219643</v>
      </c>
      <c r="BV18" s="168">
        <f>IFERROR(VLOOKUP($B18,RD[#All],BV$2,0)/BV$1,"")</f>
        <v>3.4157894736842107</v>
      </c>
      <c r="BW18" s="168">
        <f>IFERROR(VLOOKUP($B18,RD[#All],BW$2,0)/BW$1,"")</f>
        <v>3.4756602889777679</v>
      </c>
      <c r="BX18" s="168">
        <f>IFERROR(VLOOKUP($B18,RD[#All],BX$2,0)/BX$1,"")</f>
        <v>3.4581752186107901</v>
      </c>
      <c r="BY18" s="168">
        <f>AVERAGEIF(Inv_SY_B[[#This Row],[IS1Inv1M1]:[IS4Inv4M2]],"&gt;="&amp;0.1,Inv_SY_B[[#This Row],[IS1Inv1M1]:[IS4Inv4M2]])</f>
        <v>3.3140015630570216</v>
      </c>
      <c r="BZ18" s="168">
        <f>AVERAGEIF(Inv_SY_B[[#This Row],[IS5Inv1M1]:[IS9Inv2M2]],"&gt;="&amp;0.1,Inv_SY_B[[#This Row],[IS5Inv1M1]:[IS9Inv2M2]])</f>
        <v>3.1296238146627218</v>
      </c>
      <c r="CA18" s="168">
        <f>AVERAGEIF(Inv_SY_B[[#This Row],[IS10Inv1M1]:[IS14Inv2M4]],"&gt;="&amp;0.1,Inv_SY_B[[#This Row],[IS10Inv1M1]:[IS14Inv2M4]])</f>
        <v>3.3790072083700786</v>
      </c>
    </row>
    <row r="19" spans="2:79">
      <c r="B19" s="173">
        <f t="shared" si="32"/>
        <v>45852</v>
      </c>
      <c r="C19" s="168">
        <f>IFERROR(VLOOKUP($B19,RD[#All],C$2,0)/C$1,"")</f>
        <v>4.4405047907511408</v>
      </c>
      <c r="D19" s="168">
        <f>IFERROR(VLOOKUP($B19,RD[#All],D$2,0)/D$1,"")</f>
        <v>4.4679431562264105</v>
      </c>
      <c r="E19" s="168">
        <f>IFERROR(VLOOKUP($B19,RD[#All],E$2,0)/E$1,"")</f>
        <v>4.423117268019781</v>
      </c>
      <c r="F19" s="168">
        <f>IFERROR(VLOOKUP($B19,RD[#All],F$2,0)/F$1,"")</f>
        <v>4.3362481438706482</v>
      </c>
      <c r="G19" s="168">
        <f>IFERROR(VLOOKUP($B19,RD[#All],G$2,0)/G$1,"")</f>
        <v>4.3019820697345059</v>
      </c>
      <c r="H19" s="168">
        <f>IFERROR(VLOOKUP($B19,RD[#All],H$2,0)/H$1,"")</f>
        <v>4.3137522148016894</v>
      </c>
      <c r="I19" s="168">
        <f>IFERROR(VLOOKUP($B19,RD[#All],I$2,0)/I$1,"")</f>
        <v>4.4360476100510109</v>
      </c>
      <c r="J19" s="168">
        <f>IFERROR(VLOOKUP($B19,RD[#All],J$2,0)/J$1,"")</f>
        <v>4.3751977222397969</v>
      </c>
      <c r="K19" s="168">
        <f>IFERROR(VLOOKUP($B19,RD[#All],K$2,0)/K$1,"")</f>
        <v>4.3467423883893357</v>
      </c>
      <c r="L19" s="168">
        <f>IFERROR(VLOOKUP($B19,RD[#All],L$2,0)/L$1,"")</f>
        <v>4.4574957298646689</v>
      </c>
      <c r="M19" s="168">
        <f>IFERROR(VLOOKUP($B19,RD[#All],M$2,0)/M$1,"")</f>
        <v>4.526505944951718</v>
      </c>
      <c r="N19" s="168">
        <f>IFERROR(VLOOKUP($B19,RD[#All],N$2,0)/N$1,"")</f>
        <v>4.3979979375738827</v>
      </c>
      <c r="O19" s="168">
        <f>IFERROR(VLOOKUP($B19,RD[#All],O$2,0)/O$1,"")</f>
        <v>4.6335764356015012</v>
      </c>
      <c r="P19" s="168">
        <f>IFERROR(VLOOKUP($B19,RD[#All],P$2,0)/P$1,"")</f>
        <v>4.3178563868863078</v>
      </c>
      <c r="Q19" s="168">
        <f>IFERROR(VLOOKUP($B19,RD[#All],Q$2,0)/Q$1,"")</f>
        <v>4.4513783440119505</v>
      </c>
      <c r="R19" s="168">
        <f>IFERROR(VLOOKUP($B19,RD[#All],R$2,0)/R$1,"")</f>
        <v>4.5270448591272769</v>
      </c>
      <c r="S19" s="168">
        <f>IFERROR(VLOOKUP($B19,RD[#All],S$2,0)/S$1,"")</f>
        <v>4.4485152070255509</v>
      </c>
      <c r="T19" s="168">
        <f>IFERROR(VLOOKUP($B19,RD[#All],T$2,0)/T$1,"")</f>
        <v>4.3814197163482369</v>
      </c>
      <c r="U19" s="168">
        <f>IFERROR(VLOOKUP($B19,RD[#All],U$2,0)/U$1,"")</f>
        <v>4.4929614549147567</v>
      </c>
      <c r="V19" s="168">
        <f>IFERROR(VLOOKUP($B19,RD[#All],V$2,0)/V$1,"")</f>
        <v>4.4726498156496941</v>
      </c>
      <c r="W19" s="168">
        <f>IFERROR(VLOOKUP($B19,RD[#All],W$2,0)/W$1,"")</f>
        <v>4.3287823791453555</v>
      </c>
      <c r="X19" s="168">
        <f>IFERROR(VLOOKUP($B19,RD[#All],X$2,0)/X$1,"")</f>
        <v>4.5257221915151185</v>
      </c>
      <c r="Y19" s="168">
        <f>IFERROR(VLOOKUP($B19,RD[#All],Y$2,0)/Y$1,"")</f>
        <v>4.4928453204590362</v>
      </c>
      <c r="Z19" s="168">
        <f>IFERROR(VLOOKUP($B19,RD[#All],Z$2,0)/Z$1,"")</f>
        <v>4.4744070809170715</v>
      </c>
      <c r="AA19" s="168">
        <f>IFERROR(VLOOKUP($B19,RD[#All],AA$2,0)/AA$1,"")</f>
        <v>4.5096682551319649</v>
      </c>
      <c r="AB19" s="168">
        <f>IFERROR(VLOOKUP($B19,RD[#All],AB$2,0)/AB$1,"")</f>
        <v>4.4623142973967553</v>
      </c>
      <c r="AC19" s="168">
        <f>IFERROR(VLOOKUP($B19,RD[#All],AC$2,0)/AC$1,"")</f>
        <v>4.4561205635714254</v>
      </c>
      <c r="AD19" s="168">
        <f>IFERROR(VLOOKUP($B19,RD[#All],AD$2,0)/AD$1,"")</f>
        <v>4.4143806209608165</v>
      </c>
      <c r="AE19" s="168">
        <f>IFERROR(VLOOKUP($B19,RD[#All],AE$2,0)/AE$1,"")</f>
        <v>4.5881957289389614</v>
      </c>
      <c r="AF19" s="168">
        <f>IFERROR(VLOOKUP($B19,RD[#All],AF$2,0)/AF$1,"")</f>
        <v>4.4963159445918057</v>
      </c>
      <c r="AG19" s="168">
        <f>IFERROR(VLOOKUP($B19,RD[#All],AG$2,0)/AG$1,"")</f>
        <v>4.5425105629003681</v>
      </c>
      <c r="AH19" s="168">
        <f>IFERROR(VLOOKUP($B19,RD[#All],AH$2,0)/AH$1,"")</f>
        <v>4.4945072611328447</v>
      </c>
      <c r="AI19" s="168">
        <f>IFERROR(VLOOKUP($B19,RD[#All],AI$2,0)/AI$1,"")</f>
        <v>4.5862886738448951</v>
      </c>
      <c r="AJ19" s="168">
        <f>IFERROR(VLOOKUP($B19,RD[#All],AJ$2,0)/AJ$1,"")</f>
        <v>4.5910803192750453</v>
      </c>
      <c r="AK19" s="168">
        <f>IFERROR(VLOOKUP($B19,RD[#All],AK$2,0)/AK$1,"")</f>
        <v>4.5459327347112266</v>
      </c>
      <c r="AL19" s="168">
        <f>IFERROR(VLOOKUP($B19,RD[#All],AL$2,0)/AL$1,"")</f>
        <v>4.5886931142579179</v>
      </c>
      <c r="AM19" s="168">
        <f>IFERROR(VLOOKUP($B19,RD[#All],AM$2,0)/AM$1,"")</f>
        <v>4.5711362550229859</v>
      </c>
      <c r="AN19" s="168">
        <f>IFERROR(VLOOKUP($B19,RD[#All],AN$2,0)/AN$1,"")</f>
        <v>4.6145510106551253</v>
      </c>
      <c r="AO19" s="168">
        <f>IFERROR(VLOOKUP($B19,RD[#All],AO$2,0)/AO$1,"")</f>
        <v>4.6228301035896262</v>
      </c>
      <c r="AP19" s="168">
        <f>IFERROR(VLOOKUP($B19,RD[#All],AP$2,0)/AP$1,"")</f>
        <v>4.3795055429536838</v>
      </c>
      <c r="AQ19" s="168">
        <f>IFERROR(VLOOKUP($B19,RD[#All],AQ$2,0)/AQ$1,"")</f>
        <v>4.571202948144248</v>
      </c>
      <c r="AR19" s="168">
        <f>IFERROR(VLOOKUP($B19,RD[#All],AR$2,0)/AR$1,"")</f>
        <v>4.5845585174578334</v>
      </c>
      <c r="AS19" s="168">
        <f>IFERROR(VLOOKUP($B19,RD[#All],AS$2,0)/AS$1,"")</f>
        <v>4.4959049527224151</v>
      </c>
      <c r="AT19" s="168">
        <f>IFERROR(VLOOKUP($B19,RD[#All],AT$2,0)/AT$1,"")</f>
        <v>4.4828308646372372</v>
      </c>
      <c r="AU19" s="168">
        <f>IFERROR(VLOOKUP($B19,RD[#All],AU$2,0)/AU$1,"")</f>
        <v>4.6539679406992907</v>
      </c>
      <c r="AV19" s="168">
        <f>IFERROR(VLOOKUP($B19,RD[#All],AV$2,0)/AV$1,"")</f>
        <v>4.5679857592770086</v>
      </c>
      <c r="AW19" s="168">
        <f>IFERROR(VLOOKUP($B19,RD[#All],AW$2,0)/AW$1,"")</f>
        <v>3.871934353678776</v>
      </c>
      <c r="AX19" s="168">
        <f>IFERROR(VLOOKUP($B19,RD[#All],AX$2,0)/AX$1,"")</f>
        <v>4.0083757836990594</v>
      </c>
      <c r="AY19" s="168">
        <f>IFERROR(VLOOKUP($B19,RD[#All],AY$2,0)/AY$1,"")</f>
        <v>4.2551754591028335</v>
      </c>
      <c r="AZ19" s="168">
        <f>IFERROR(VLOOKUP($B19,RD[#All],AZ$2,0)/AZ$1,"")</f>
        <v>4.4655678026089598</v>
      </c>
      <c r="BA19" s="168">
        <f>IFERROR(VLOOKUP($B19,RD[#All],BA$2,0)/BA$1,"")</f>
        <v>4.164781396327669</v>
      </c>
      <c r="BB19" s="168">
        <f>IFERROR(VLOOKUP($B19,RD[#All],BB$2,0)/BB$1,"")</f>
        <v>4.2173458725182869</v>
      </c>
      <c r="BC19" s="168">
        <f>IFERROR(VLOOKUP($B19,RD[#All],BC$2,0)/BC$1,"")</f>
        <v>4.1627854903716974</v>
      </c>
      <c r="BD19" s="168">
        <f>IFERROR(VLOOKUP($B19,RD[#All],BD$2,0)/BD$1,"")</f>
        <v>4.1709954279439181</v>
      </c>
      <c r="BE19" s="168">
        <f>IFERROR(VLOOKUP($B19,RD[#All],BE$2,0)/BE$1,"")</f>
        <v>4.2530930041375941</v>
      </c>
      <c r="BF19" s="168">
        <f>IFERROR(VLOOKUP($B19,RD[#All],BF$2,0)/BF$1,"")</f>
        <v>4.3101310738134533</v>
      </c>
      <c r="BG19" s="168">
        <f>IFERROR(VLOOKUP($B19,RD[#All],BG$2,0)/BG$1,"")</f>
        <v>4.3139397774007078</v>
      </c>
      <c r="BH19" s="168">
        <f>IFERROR(VLOOKUP($B19,RD[#All],BH$2,0)/BH$1,"")</f>
        <v>4.2801472491444024</v>
      </c>
      <c r="BI19" s="168">
        <f>IFERROR(VLOOKUP($B19,RD[#All],BI$2,0)/BI$1,"")</f>
        <v>4.2866265280058382</v>
      </c>
      <c r="BJ19" s="168">
        <f>IFERROR(VLOOKUP($B19,RD[#All],BJ$2,0)/BJ$1,"")</f>
        <v>4.3326604320301021</v>
      </c>
      <c r="BK19" s="168">
        <f>IFERROR(VLOOKUP($B19,RD[#All],BK$2,0)/BK$1,"")</f>
        <v>4.2846768336964418</v>
      </c>
      <c r="BL19" s="168">
        <f>IFERROR(VLOOKUP($B19,RD[#All],BL$2,0)/BL$1,"")</f>
        <v>4.2823223329418152</v>
      </c>
      <c r="BM19" s="168">
        <f>IFERROR(VLOOKUP($B19,RD[#All],BM$2,0)/BM$1,"")</f>
        <v>4.2192872231111593</v>
      </c>
      <c r="BN19" s="168">
        <f>IFERROR(VLOOKUP($B19,RD[#All],BN$2,0)/BN$1,"")</f>
        <v>4.1804971495302912</v>
      </c>
      <c r="BO19" s="168">
        <f>IFERROR(VLOOKUP($B19,RD[#All],BO$2,0)/BO$1,"")</f>
        <v>4.0706985956563004</v>
      </c>
      <c r="BP19" s="168">
        <f>IFERROR(VLOOKUP($B19,RD[#All],BP$2,0)/BP$1,"")</f>
        <v>4.1968466485998395</v>
      </c>
      <c r="BQ19" s="168">
        <f>IFERROR(VLOOKUP($B19,RD[#All],BQ$2,0)/BQ$1,"")</f>
        <v>4.1550056693123461</v>
      </c>
      <c r="BR19" s="168">
        <f>IFERROR(VLOOKUP($B19,RD[#All],BR$2,0)/BR$1,"")</f>
        <v>4.3454168824443293</v>
      </c>
      <c r="BS19" s="168">
        <f>IFERROR(VLOOKUP($B19,RD[#All],BS$2,0)/BS$1,"")</f>
        <v>4.0434054991405235</v>
      </c>
      <c r="BT19" s="168">
        <f>IFERROR(VLOOKUP($B19,RD[#All],BT$2,0)/BT$1,"")</f>
        <v>4.0039819126678813</v>
      </c>
      <c r="BU19" s="168">
        <f>IFERROR(VLOOKUP($B19,RD[#All],BU$2,0)/BU$1,"")</f>
        <v>2.3184398731843987</v>
      </c>
      <c r="BV19" s="168">
        <f>IFERROR(VLOOKUP($B19,RD[#All],BV$2,0)/BV$1,"")</f>
        <v>4.2794736842105268</v>
      </c>
      <c r="BW19" s="168">
        <f>IFERROR(VLOOKUP($B19,RD[#All],BW$2,0)/BW$1,"")</f>
        <v>4.2341368500702625</v>
      </c>
      <c r="BX19" s="168">
        <f>IFERROR(VLOOKUP($B19,RD[#All],BX$2,0)/BX$1,"")</f>
        <v>4.1741626794258373</v>
      </c>
      <c r="BY19" s="168">
        <f>AVERAGEIF(Inv_SY_B[[#This Row],[IS1Inv1M1]:[IS4Inv4M2]],"&gt;="&amp;0.1,Inv_SY_B[[#This Row],[IS1Inv1M1]:[IS4Inv4M2]])</f>
        <v>4.4361849251834791</v>
      </c>
      <c r="BZ19" s="168">
        <f>AVERAGEIF(Inv_SY_B[[#This Row],[IS5Inv1M1]:[IS9Inv2M2]],"&gt;="&amp;0.1,Inv_SY_B[[#This Row],[IS5Inv1M1]:[IS9Inv2M2]])</f>
        <v>4.5543332352673618</v>
      </c>
      <c r="CA19" s="168">
        <f>AVERAGEIF(Inv_SY_B[[#This Row],[IS10Inv1M1]:[IS14Inv2M4]],"&gt;="&amp;0.1,Inv_SY_B[[#This Row],[IS10Inv1M1]:[IS14Inv2M4]])</f>
        <v>4.138639695884831</v>
      </c>
    </row>
    <row r="20" spans="2:79">
      <c r="B20" s="173">
        <f t="shared" si="32"/>
        <v>45853</v>
      </c>
      <c r="C20" s="168">
        <f>IFERROR(VLOOKUP($B20,RD[#All],C$2,0)/C$1,"")</f>
        <v>4.3219810750451826</v>
      </c>
      <c r="D20" s="168">
        <f>IFERROR(VLOOKUP($B20,RD[#All],D$2,0)/D$1,"")</f>
        <v>4.4338018110574104</v>
      </c>
      <c r="E20" s="168">
        <f>IFERROR(VLOOKUP($B20,RD[#All],E$2,0)/E$1,"")</f>
        <v>4.4901846517591038</v>
      </c>
      <c r="F20" s="168">
        <f>IFERROR(VLOOKUP($B20,RD[#All],F$2,0)/F$1,"")</f>
        <v>4.4084474509156903</v>
      </c>
      <c r="G20" s="168">
        <f>IFERROR(VLOOKUP($B20,RD[#All],G$2,0)/G$1,"")</f>
        <v>4.4145108267275024</v>
      </c>
      <c r="H20" s="168">
        <f>IFERROR(VLOOKUP($B20,RD[#All],H$2,0)/H$1,"")</f>
        <v>4.3461533695961938</v>
      </c>
      <c r="I20" s="168">
        <f>IFERROR(VLOOKUP($B20,RD[#All],I$2,0)/I$1,"")</f>
        <v>4.4323341824270184</v>
      </c>
      <c r="J20" s="168">
        <f>IFERROR(VLOOKUP($B20,RD[#All],J$2,0)/J$1,"")</f>
        <v>4.2722649888103854</v>
      </c>
      <c r="K20" s="168">
        <f>IFERROR(VLOOKUP($B20,RD[#All],K$2,0)/K$1,"")</f>
        <v>4.302445180627859</v>
      </c>
      <c r="L20" s="168">
        <f>IFERROR(VLOOKUP($B20,RD[#All],L$2,0)/L$1,"")</f>
        <v>4.4924451451846013</v>
      </c>
      <c r="M20" s="168">
        <f>IFERROR(VLOOKUP($B20,RD[#All],M$2,0)/M$1,"")</f>
        <v>4.539775339946134</v>
      </c>
      <c r="N20" s="168">
        <f>IFERROR(VLOOKUP($B20,RD[#All],N$2,0)/N$1,"")</f>
        <v>4.3527251691440929</v>
      </c>
      <c r="O20" s="168">
        <f>IFERROR(VLOOKUP($B20,RD[#All],O$2,0)/O$1,"")</f>
        <v>4.5661815349558745</v>
      </c>
      <c r="P20" s="168">
        <f>IFERROR(VLOOKUP($B20,RD[#All],P$2,0)/P$1,"")</f>
        <v>4.3364710569895282</v>
      </c>
      <c r="Q20" s="168">
        <f>IFERROR(VLOOKUP($B20,RD[#All],Q$2,0)/Q$1,"")</f>
        <v>4.4213794550819108</v>
      </c>
      <c r="R20" s="168">
        <f>IFERROR(VLOOKUP($B20,RD[#All],R$2,0)/R$1,"")</f>
        <v>4.4231524334901797</v>
      </c>
      <c r="S20" s="168">
        <f>IFERROR(VLOOKUP($B20,RD[#All],S$2,0)/S$1,"")</f>
        <v>4.3863779960635831</v>
      </c>
      <c r="T20" s="168">
        <f>IFERROR(VLOOKUP($B20,RD[#All],T$2,0)/T$1,"")</f>
        <v>4.2735624086512578</v>
      </c>
      <c r="U20" s="168">
        <f>IFERROR(VLOOKUP($B20,RD[#All],U$2,0)/U$1,"")</f>
        <v>4.4232812691009284</v>
      </c>
      <c r="V20" s="168">
        <f>IFERROR(VLOOKUP($B20,RD[#All],V$2,0)/V$1,"")</f>
        <v>4.394802991123206</v>
      </c>
      <c r="W20" s="168">
        <f>IFERROR(VLOOKUP($B20,RD[#All],W$2,0)/W$1,"")</f>
        <v>4.3009816861903971</v>
      </c>
      <c r="X20" s="168">
        <f>IFERROR(VLOOKUP($B20,RD[#All],X$2,0)/X$1,"")</f>
        <v>4.5613273607074909</v>
      </c>
      <c r="Y20" s="168">
        <f>IFERROR(VLOOKUP($B20,RD[#All],Y$2,0)/Y$1,"")</f>
        <v>4.4997684643916571</v>
      </c>
      <c r="Z20" s="168">
        <f>IFERROR(VLOOKUP($B20,RD[#All],Z$2,0)/Z$1,"")</f>
        <v>4.5004398642704535</v>
      </c>
      <c r="AA20" s="168">
        <f>IFERROR(VLOOKUP($B20,RD[#All],AA$2,0)/AA$1,"")</f>
        <v>4.4645344574780053</v>
      </c>
      <c r="AB20" s="168">
        <f>IFERROR(VLOOKUP($B20,RD[#All],AB$2,0)/AB$1,"")</f>
        <v>4.4232429239925484</v>
      </c>
      <c r="AC20" s="168">
        <f>IFERROR(VLOOKUP($B20,RD[#All],AC$2,0)/AC$1,"")</f>
        <v>4.4482804469324968</v>
      </c>
      <c r="AD20" s="168">
        <f>IFERROR(VLOOKUP($B20,RD[#All],AD$2,0)/AD$1,"")</f>
        <v>4.4389659691779269</v>
      </c>
      <c r="AE20" s="168">
        <f>IFERROR(VLOOKUP($B20,RD[#All],AE$2,0)/AE$1,"")</f>
        <v>5.1450591334566447</v>
      </c>
      <c r="AF20" s="168">
        <f>IFERROR(VLOOKUP($B20,RD[#All],AF$2,0)/AF$1,"")</f>
        <v>5.0278916485813028</v>
      </c>
      <c r="AG20" s="168">
        <f>IFERROR(VLOOKUP($B20,RD[#All],AG$2,0)/AG$1,"")</f>
        <v>5.077933760392531</v>
      </c>
      <c r="AH20" s="168">
        <f>IFERROR(VLOOKUP($B20,RD[#All],AH$2,0)/AH$1,"")</f>
        <v>4.9939981780183267</v>
      </c>
      <c r="AI20" s="168">
        <f>IFERROR(VLOOKUP($B20,RD[#All],AI$2,0)/AI$1,"")</f>
        <v>5.11544227886057</v>
      </c>
      <c r="AJ20" s="168">
        <f>IFERROR(VLOOKUP($B20,RD[#All],AJ$2,0)/AJ$1,"")</f>
        <v>5.0488132557098071</v>
      </c>
      <c r="AK20" s="168">
        <f>IFERROR(VLOOKUP($B20,RD[#All],AK$2,0)/AK$1,"")</f>
        <v>5.0665214388183415</v>
      </c>
      <c r="AL20" s="168">
        <f>IFERROR(VLOOKUP($B20,RD[#All],AL$2,0)/AL$1,"")</f>
        <v>5.1062047346232839</v>
      </c>
      <c r="AM20" s="168">
        <f>IFERROR(VLOOKUP($B20,RD[#All],AM$2,0)/AM$1,"")</f>
        <v>5.0440541977693565</v>
      </c>
      <c r="AN20" s="168">
        <f>IFERROR(VLOOKUP($B20,RD[#All],AN$2,0)/AN$1,"")</f>
        <v>5.0754205173423435</v>
      </c>
      <c r="AO20" s="168">
        <f>IFERROR(VLOOKUP($B20,RD[#All],AO$2,0)/AO$1,"")</f>
        <v>5.0909017480328735</v>
      </c>
      <c r="AP20" s="168">
        <f>IFERROR(VLOOKUP($B20,RD[#All],AP$2,0)/AP$1,"")</f>
        <v>4.9577631640943141</v>
      </c>
      <c r="AQ20" s="168">
        <f>IFERROR(VLOOKUP($B20,RD[#All],AQ$2,0)/AQ$1,"")</f>
        <v>5.0044090550144773</v>
      </c>
      <c r="AR20" s="168">
        <f>IFERROR(VLOOKUP($B20,RD[#All],AR$2,0)/AR$1,"")</f>
        <v>5.0187981817879095</v>
      </c>
      <c r="AS20" s="168">
        <f>IFERROR(VLOOKUP($B20,RD[#All],AS$2,0)/AS$1,"")</f>
        <v>4.9607367570037608</v>
      </c>
      <c r="AT20" s="168">
        <f>IFERROR(VLOOKUP($B20,RD[#All],AT$2,0)/AT$1,"")</f>
        <v>4.7833064465441746</v>
      </c>
      <c r="AU20" s="168">
        <f>IFERROR(VLOOKUP($B20,RD[#All],AU$2,0)/AU$1,"")</f>
        <v>5.0713831704634176</v>
      </c>
      <c r="AV20" s="168">
        <f>IFERROR(VLOOKUP($B20,RD[#All],AV$2,0)/AV$1,"")</f>
        <v>5.0061618512939878</v>
      </c>
      <c r="AW20" s="168">
        <f>IFERROR(VLOOKUP($B20,RD[#All],AW$2,0)/AW$1,"")</f>
        <v>4.1775769869076163</v>
      </c>
      <c r="AX20" s="168">
        <f>IFERROR(VLOOKUP($B20,RD[#All],AX$2,0)/AX$1,"")</f>
        <v>4.2809561128526648</v>
      </c>
      <c r="AY20" s="168">
        <f>IFERROR(VLOOKUP($B20,RD[#All],AY$2,0)/AY$1,"")</f>
        <v>4.8744123223979843</v>
      </c>
      <c r="AZ20" s="168">
        <f>IFERROR(VLOOKUP($B20,RD[#All],AZ$2,0)/AZ$1,"")</f>
        <v>5.1063808271817166</v>
      </c>
      <c r="BA20" s="168">
        <f>IFERROR(VLOOKUP($B20,RD[#All],BA$2,0)/BA$1,"")</f>
        <v>4.666131776012346</v>
      </c>
      <c r="BB20" s="168">
        <f>IFERROR(VLOOKUP($B20,RD[#All],BB$2,0)/BB$1,"")</f>
        <v>4.7528846795171082</v>
      </c>
      <c r="BC20" s="168">
        <f>IFERROR(VLOOKUP($B20,RD[#All],BC$2,0)/BC$1,"")</f>
        <v>4.702418271383789</v>
      </c>
      <c r="BD20" s="168">
        <f>IFERROR(VLOOKUP($B20,RD[#All],BD$2,0)/BD$1,"")</f>
        <v>4.7469896136254528</v>
      </c>
      <c r="BE20" s="168">
        <f>IFERROR(VLOOKUP($B20,RD[#All],BE$2,0)/BE$1,"")</f>
        <v>4.8971716252114659</v>
      </c>
      <c r="BF20" s="168">
        <f>IFERROR(VLOOKUP($B20,RD[#All],BF$2,0)/BF$1,"")</f>
        <v>5.0958899424574851</v>
      </c>
      <c r="BG20" s="168">
        <f>IFERROR(VLOOKUP($B20,RD[#All],BG$2,0)/BG$1,"")</f>
        <v>5.046590549595928</v>
      </c>
      <c r="BH20" s="168">
        <f>IFERROR(VLOOKUP($B20,RD[#All],BH$2,0)/BH$1,"")</f>
        <v>5.0092030715251221</v>
      </c>
      <c r="BI20" s="168">
        <f>IFERROR(VLOOKUP($B20,RD[#All],BI$2,0)/BI$1,"")</f>
        <v>4.9289754215862587</v>
      </c>
      <c r="BJ20" s="168">
        <f>IFERROR(VLOOKUP($B20,RD[#All],BJ$2,0)/BJ$1,"")</f>
        <v>5.0280146665018739</v>
      </c>
      <c r="BK20" s="168">
        <f>IFERROR(VLOOKUP($B20,RD[#All],BK$2,0)/BK$1,"")</f>
        <v>4.899644404377332</v>
      </c>
      <c r="BL20" s="168">
        <f>IFERROR(VLOOKUP($B20,RD[#All],BL$2,0)/BL$1,"")</f>
        <v>4.8918273784715645</v>
      </c>
      <c r="BM20" s="168">
        <f>IFERROR(VLOOKUP($B20,RD[#All],BM$2,0)/BM$1,"")</f>
        <v>5.0630241338889945</v>
      </c>
      <c r="BN20" s="168">
        <f>IFERROR(VLOOKUP($B20,RD[#All],BN$2,0)/BN$1,"")</f>
        <v>4.9812749164418317</v>
      </c>
      <c r="BO20" s="168">
        <f>IFERROR(VLOOKUP($B20,RD[#All],BO$2,0)/BO$1,"")</f>
        <v>4.8234598297181686</v>
      </c>
      <c r="BP20" s="168">
        <f>IFERROR(VLOOKUP($B20,RD[#All],BP$2,0)/BP$1,"")</f>
        <v>4.9865997272771168</v>
      </c>
      <c r="BQ20" s="168">
        <f>IFERROR(VLOOKUP($B20,RD[#All],BQ$2,0)/BQ$1,"")</f>
        <v>4.804308677382779</v>
      </c>
      <c r="BR20" s="168">
        <f>IFERROR(VLOOKUP($B20,RD[#All],BR$2,0)/BR$1,"")</f>
        <v>5.2222386624250943</v>
      </c>
      <c r="BS20" s="168">
        <f>IFERROR(VLOOKUP($B20,RD[#All],BS$2,0)/BS$1,"")</f>
        <v>4.9056089415934032</v>
      </c>
      <c r="BT20" s="168">
        <f>IFERROR(VLOOKUP($B20,RD[#All],BT$2,0)/BT$1,"")</f>
        <v>4.7559559964905169</v>
      </c>
      <c r="BU20" s="168">
        <f>IFERROR(VLOOKUP($B20,RD[#All],BU$2,0)/BU$1,"")</f>
        <v>3.2395487723954881</v>
      </c>
      <c r="BV20" s="168">
        <f>IFERROR(VLOOKUP($B20,RD[#All],BV$2,0)/BV$1,"")</f>
        <v>5.3815789473684212</v>
      </c>
      <c r="BW20" s="168">
        <f>IFERROR(VLOOKUP($B20,RD[#All],BW$2,0)/BW$1,"")</f>
        <v>5.0124310885309695</v>
      </c>
      <c r="BX20" s="168">
        <f>IFERROR(VLOOKUP($B20,RD[#All],BX$2,0)/BX$1,"")</f>
        <v>4.9073090249133804</v>
      </c>
      <c r="BY20" s="168">
        <f>AVERAGEIF(Inv_SY_B[[#This Row],[IS1Inv1M1]:[IS4Inv4M2]],"&gt;="&amp;0.1,Inv_SY_B[[#This Row],[IS1Inv1M1]:[IS4Inv4M2]])</f>
        <v>4.4167792682085221</v>
      </c>
      <c r="BZ20" s="168">
        <f>AVERAGEIF(Inv_SY_B[[#This Row],[IS5Inv1M1]:[IS9Inv2M2]],"&gt;="&amp;0.1,Inv_SY_B[[#This Row],[IS5Inv1M1]:[IS9Inv2M2]])</f>
        <v>5.0330444176559688</v>
      </c>
      <c r="CA20" s="168">
        <f>AVERAGEIF(Inv_SY_B[[#This Row],[IS10Inv1M1]:[IS14Inv2M4]],"&gt;="&amp;0.1,Inv_SY_B[[#This Row],[IS10Inv1M1]:[IS14Inv2M4]])</f>
        <v>4.8281573702868528</v>
      </c>
    </row>
    <row r="21" spans="2:79">
      <c r="B21" s="173">
        <f t="shared" si="32"/>
        <v>45854</v>
      </c>
      <c r="C21" s="168">
        <f>IFERROR(VLOOKUP($B21,RD[#All],C$2,0)/C$1,"")</f>
        <v>4.498889623223632</v>
      </c>
      <c r="D21" s="168">
        <f>IFERROR(VLOOKUP($B21,RD[#All],D$2,0)/D$1,"")</f>
        <v>4.545434613059534</v>
      </c>
      <c r="E21" s="168">
        <f>IFERROR(VLOOKUP($B21,RD[#All],E$2,0)/E$1,"")</f>
        <v>4.5709052764781299</v>
      </c>
      <c r="F21" s="168">
        <f>IFERROR(VLOOKUP($B21,RD[#All],F$2,0)/F$1,"")</f>
        <v>4.5240059396139252</v>
      </c>
      <c r="G21" s="168">
        <f>IFERROR(VLOOKUP($B21,RD[#All],G$2,0)/G$1,"")</f>
        <v>4.5090965017398377</v>
      </c>
      <c r="H21" s="168">
        <f>IFERROR(VLOOKUP($B21,RD[#All],H$2,0)/H$1,"")</f>
        <v>4.4675183069622211</v>
      </c>
      <c r="I21" s="168">
        <f>IFERROR(VLOOKUP($B21,RD[#All],I$2,0)/I$1,"")</f>
        <v>4.5724672143429519</v>
      </c>
      <c r="J21" s="168">
        <f>IFERROR(VLOOKUP($B21,RD[#All],J$2,0)/J$1,"")</f>
        <v>4.4515917372608298</v>
      </c>
      <c r="K21" s="168">
        <f>IFERROR(VLOOKUP($B21,RD[#All],K$2,0)/K$1,"")</f>
        <v>4.4732607666824418</v>
      </c>
      <c r="L21" s="168">
        <f>IFERROR(VLOOKUP($B21,RD[#All],L$2,0)/L$1,"")</f>
        <v>4.6058336618052813</v>
      </c>
      <c r="M21" s="168">
        <f>IFERROR(VLOOKUP($B21,RD[#All],M$2,0)/M$1,"")</f>
        <v>4.7104381527951125</v>
      </c>
      <c r="N21" s="168">
        <f>IFERROR(VLOOKUP($B21,RD[#All],N$2,0)/N$1,"")</f>
        <v>4.5589677808798008</v>
      </c>
      <c r="O21" s="168">
        <f>IFERROR(VLOOKUP($B21,RD[#All],O$2,0)/O$1,"")</f>
        <v>4.680437455343637</v>
      </c>
      <c r="P21" s="168">
        <f>IFERROR(VLOOKUP($B21,RD[#All],P$2,0)/P$1,"")</f>
        <v>4.438260306550621</v>
      </c>
      <c r="Q21" s="168">
        <f>IFERROR(VLOOKUP($B21,RD[#All],Q$2,0)/Q$1,"")</f>
        <v>4.5360048393269388</v>
      </c>
      <c r="R21" s="168">
        <f>IFERROR(VLOOKUP($B21,RD[#All],R$2,0)/R$1,"")</f>
        <v>4.5764162906413137</v>
      </c>
      <c r="S21" s="168">
        <f>IFERROR(VLOOKUP($B21,RD[#All],S$2,0)/S$1,"")</f>
        <v>4.505425073978282</v>
      </c>
      <c r="T21" s="168">
        <f>IFERROR(VLOOKUP($B21,RD[#All],T$2,0)/T$1,"")</f>
        <v>4.4080601474535719</v>
      </c>
      <c r="U21" s="168">
        <f>IFERROR(VLOOKUP($B21,RD[#All],U$2,0)/U$1,"")</f>
        <v>4.5402142125010574</v>
      </c>
      <c r="V21" s="168">
        <f>IFERROR(VLOOKUP($B21,RD[#All],V$2,0)/V$1,"")</f>
        <v>4.5033823881149342</v>
      </c>
      <c r="W21" s="168">
        <f>IFERROR(VLOOKUP($B21,RD[#All],W$2,0)/W$1,"")</f>
        <v>4.3155007424517402</v>
      </c>
      <c r="X21" s="168">
        <f>IFERROR(VLOOKUP($B21,RD[#All],X$2,0)/X$1,"")</f>
        <v>4.4791981037704174</v>
      </c>
      <c r="Y21" s="168">
        <f>IFERROR(VLOOKUP($B21,RD[#All],Y$2,0)/Y$1,"")</f>
        <v>4.4756520822157722</v>
      </c>
      <c r="Z21" s="168">
        <f>IFERROR(VLOOKUP($B21,RD[#All],Z$2,0)/Z$1,"")</f>
        <v>4.4526831720497668</v>
      </c>
      <c r="AA21" s="168">
        <f>IFERROR(VLOOKUP($B21,RD[#All],AA$2,0)/AA$1,"")</f>
        <v>4.4562408357771259</v>
      </c>
      <c r="AB21" s="168">
        <f>IFERROR(VLOOKUP($B21,RD[#All],AB$2,0)/AB$1,"")</f>
        <v>4.4023442824042514</v>
      </c>
      <c r="AC21" s="168">
        <f>IFERROR(VLOOKUP($B21,RD[#All],AC$2,0)/AC$1,"")</f>
        <v>4.4475927174027667</v>
      </c>
      <c r="AD21" s="168">
        <f>IFERROR(VLOOKUP($B21,RD[#All],AD$2,0)/AD$1,"")</f>
        <v>4.4193971166448218</v>
      </c>
      <c r="AE21" s="168">
        <f>IFERROR(VLOOKUP($B21,RD[#All],AE$2,0)/AE$1,"")</f>
        <v>4.3077181772322177</v>
      </c>
      <c r="AF21" s="168">
        <f>IFERROR(VLOOKUP($B21,RD[#All],AF$2,0)/AF$1,"")</f>
        <v>4.2337432682260268</v>
      </c>
      <c r="AG21" s="168">
        <f>IFERROR(VLOOKUP($B21,RD[#All],AG$2,0)/AG$1,"")</f>
        <v>4.2837672073054378</v>
      </c>
      <c r="AH21" s="168">
        <f>IFERROR(VLOOKUP($B21,RD[#All],AH$2,0)/AH$1,"")</f>
        <v>4.274744118750335</v>
      </c>
      <c r="AI21" s="168">
        <f>IFERROR(VLOOKUP($B21,RD[#All],AI$2,0)/AI$1,"")</f>
        <v>4.3002862205261003</v>
      </c>
      <c r="AJ21" s="168">
        <f>IFERROR(VLOOKUP($B21,RD[#All],AJ$2,0)/AJ$1,"")</f>
        <v>4.2301836094939542</v>
      </c>
      <c r="AK21" s="168">
        <f>IFERROR(VLOOKUP($B21,RD[#All],AK$2,0)/AK$1,"")</f>
        <v>4.2443547101641785</v>
      </c>
      <c r="AL21" s="168">
        <f>IFERROR(VLOOKUP($B21,RD[#All],AL$2,0)/AL$1,"")</f>
        <v>4.2773754188736355</v>
      </c>
      <c r="AM21" s="168">
        <f>IFERROR(VLOOKUP($B21,RD[#All],AM$2,0)/AM$1,"")</f>
        <v>4.2650117455424148</v>
      </c>
      <c r="AN21" s="168">
        <f>IFERROR(VLOOKUP($B21,RD[#All],AN$2,0)/AN$1,"")</f>
        <v>4.3169075232050185</v>
      </c>
      <c r="AO21" s="168">
        <f>IFERROR(VLOOKUP($B21,RD[#All],AO$2,0)/AO$1,"")</f>
        <v>4.3311771793197682</v>
      </c>
      <c r="AP21" s="168">
        <f>IFERROR(VLOOKUP($B21,RD[#All],AP$2,0)/AP$1,"")</f>
        <v>4.3004839567333262</v>
      </c>
      <c r="AQ21" s="168">
        <f>IFERROR(VLOOKUP($B21,RD[#All],AQ$2,0)/AQ$1,"")</f>
        <v>4.2999473545669904</v>
      </c>
      <c r="AR21" s="168">
        <f>IFERROR(VLOOKUP($B21,RD[#All],AR$2,0)/AR$1,"")</f>
        <v>4.3005045039044942</v>
      </c>
      <c r="AS21" s="168">
        <f>IFERROR(VLOOKUP($B21,RD[#All],AS$2,0)/AS$1,"")</f>
        <v>4.171160087642213</v>
      </c>
      <c r="AT21" s="168">
        <f>IFERROR(VLOOKUP($B21,RD[#All],AT$2,0)/AT$1,"")</f>
        <v>4.0579916616035696</v>
      </c>
      <c r="AU21" s="168">
        <f>IFERROR(VLOOKUP($B21,RD[#All],AU$2,0)/AU$1,"")</f>
        <v>4.1096621960882196</v>
      </c>
      <c r="AV21" s="168">
        <f>IFERROR(VLOOKUP($B21,RD[#All],AV$2,0)/AV$1,"")</f>
        <v>4.0948216840504834</v>
      </c>
      <c r="AW21" s="168">
        <f>IFERROR(VLOOKUP($B21,RD[#All],AW$2,0)/AW$1,"")</f>
        <v>3.9424672690392777</v>
      </c>
      <c r="AX21" s="168">
        <f>IFERROR(VLOOKUP($B21,RD[#All],AX$2,0)/AX$1,"")</f>
        <v>4.0855211598746086</v>
      </c>
      <c r="AY21" s="168">
        <f>IFERROR(VLOOKUP($B21,RD[#All],AY$2,0)/AY$1,"")</f>
        <v>4.6868749837658124</v>
      </c>
      <c r="AZ21" s="168">
        <f>IFERROR(VLOOKUP($B21,RD[#All],AZ$2,0)/AZ$1,"")</f>
        <v>4.9979775508140358</v>
      </c>
      <c r="BA21" s="168">
        <f>IFERROR(VLOOKUP($B21,RD[#All],BA$2,0)/BA$1,"")</f>
        <v>4.6285578997211552</v>
      </c>
      <c r="BB21" s="168">
        <f>IFERROR(VLOOKUP($B21,RD[#All],BB$2,0)/BB$1,"")</f>
        <v>4.7932590764579031</v>
      </c>
      <c r="BC21" s="168">
        <f>IFERROR(VLOOKUP($B21,RD[#All],BC$2,0)/BC$1,"")</f>
        <v>4.7647559337214513</v>
      </c>
      <c r="BD21" s="168">
        <f>IFERROR(VLOOKUP($B21,RD[#All],BD$2,0)/BD$1,"")</f>
        <v>4.7612689997621578</v>
      </c>
      <c r="BE21" s="168">
        <f>IFERROR(VLOOKUP($B21,RD[#All],BE$2,0)/BE$1,"")</f>
        <v>4.8978510330396032</v>
      </c>
      <c r="BF21" s="168">
        <f>IFERROR(VLOOKUP($B21,RD[#All],BF$2,0)/BF$1,"")</f>
        <v>4.9713997452055025</v>
      </c>
      <c r="BG21" s="168">
        <f>IFERROR(VLOOKUP($B21,RD[#All],BG$2,0)/BG$1,"")</f>
        <v>4.9531218544189128</v>
      </c>
      <c r="BH21" s="168">
        <f>IFERROR(VLOOKUP($B21,RD[#All],BH$2,0)/BH$1,"")</f>
        <v>4.9200483161255075</v>
      </c>
      <c r="BI21" s="168">
        <f>IFERROR(VLOOKUP($B21,RD[#All],BI$2,0)/BI$1,"")</f>
        <v>4.8746318450751946</v>
      </c>
      <c r="BJ21" s="168">
        <f>IFERROR(VLOOKUP($B21,RD[#All],BJ$2,0)/BJ$1,"")</f>
        <v>4.942391408835606</v>
      </c>
      <c r="BK21" s="168">
        <f>IFERROR(VLOOKUP($B21,RD[#All],BK$2,0)/BK$1,"")</f>
        <v>4.8118097813838183</v>
      </c>
      <c r="BL21" s="168">
        <f>IFERROR(VLOOKUP($B21,RD[#All],BL$2,0)/BL$1,"")</f>
        <v>4.8497707725533283</v>
      </c>
      <c r="BM21" s="168">
        <f>IFERROR(VLOOKUP($B21,RD[#All],BM$2,0)/BM$1,"")</f>
        <v>4.7797695995564355</v>
      </c>
      <c r="BN21" s="168">
        <f>IFERROR(VLOOKUP($B21,RD[#All],BN$2,0)/BN$1,"")</f>
        <v>4.7425372919674862</v>
      </c>
      <c r="BO21" s="168">
        <f>IFERROR(VLOOKUP($B21,RD[#All],BO$2,0)/BO$1,"")</f>
        <v>4.6396984993741661</v>
      </c>
      <c r="BP21" s="168">
        <f>IFERROR(VLOOKUP($B21,RD[#All],BP$2,0)/BP$1,"")</f>
        <v>4.7485083212668906</v>
      </c>
      <c r="BQ21" s="168">
        <f>IFERROR(VLOOKUP($B21,RD[#All],BQ$2,0)/BQ$1,"")</f>
        <v>4.6801840859067569</v>
      </c>
      <c r="BR21" s="168">
        <f>IFERROR(VLOOKUP($B21,RD[#All],BR$2,0)/BR$1,"")</f>
        <v>5.1120810830805654</v>
      </c>
      <c r="BS21" s="168">
        <f>IFERROR(VLOOKUP($B21,RD[#All],BS$2,0)/BS$1,"")</f>
        <v>4.7093300620186742</v>
      </c>
      <c r="BT21" s="168">
        <f>IFERROR(VLOOKUP($B21,RD[#All],BT$2,0)/BT$1,"")</f>
        <v>4.6709860295606394</v>
      </c>
      <c r="BU21" s="168">
        <f>IFERROR(VLOOKUP($B21,RD[#All],BU$2,0)/BU$1,"")</f>
        <v>4.1856521418565213</v>
      </c>
      <c r="BV21" s="168">
        <f>IFERROR(VLOOKUP($B21,RD[#All],BV$2,0)/BV$1,"")</f>
        <v>5.3157894736842106</v>
      </c>
      <c r="BW21" s="168">
        <f>IFERROR(VLOOKUP($B21,RD[#All],BW$2,0)/BW$1,"")</f>
        <v>4.7591251396245449</v>
      </c>
      <c r="BX21" s="168">
        <f>IFERROR(VLOOKUP($B21,RD[#All],BX$2,0)/BX$1,"")</f>
        <v>4.6480778749381289</v>
      </c>
      <c r="BY21" s="168">
        <f>AVERAGEIF(Inv_SY_B[[#This Row],[IS1Inv1M1]:[IS4Inv4M2]],"&gt;="&amp;0.1,Inv_SY_B[[#This Row],[IS1Inv1M1]:[IS4Inv4M2]])</f>
        <v>4.5044721193382404</v>
      </c>
      <c r="BZ21" s="168">
        <f>AVERAGEIF(Inv_SY_B[[#This Row],[IS5Inv1M1]:[IS9Inv2M2]],"&gt;="&amp;0.1,Inv_SY_B[[#This Row],[IS5Inv1M1]:[IS9Inv2M2]])</f>
        <v>4.2444355901793536</v>
      </c>
      <c r="CA21" s="168">
        <f>AVERAGEIF(Inv_SY_B[[#This Row],[IS10Inv1M1]:[IS14Inv2M4]],"&gt;="&amp;0.1,Inv_SY_B[[#This Row],[IS10Inv1M1]:[IS14Inv2M4]])</f>
        <v>4.7454802583081754</v>
      </c>
    </row>
    <row r="22" spans="2:79">
      <c r="B22" s="173">
        <f t="shared" si="32"/>
        <v>45855</v>
      </c>
      <c r="C22" s="168">
        <f>IFERROR(VLOOKUP($B22,RD[#All],C$2,0)/C$1,"")</f>
        <v>4.0744719837374435</v>
      </c>
      <c r="D22" s="168">
        <f>IFERROR(VLOOKUP($B22,RD[#All],D$2,0)/D$1,"")</f>
        <v>4.07854388728971</v>
      </c>
      <c r="E22" s="168">
        <f>IFERROR(VLOOKUP($B22,RD[#All],E$2,0)/E$1,"")</f>
        <v>4.1045638455518736</v>
      </c>
      <c r="F22" s="168">
        <f>IFERROR(VLOOKUP($B22,RD[#All],F$2,0)/F$1,"")</f>
        <v>4.1383930044547101</v>
      </c>
      <c r="G22" s="168">
        <f>IFERROR(VLOOKUP($B22,RD[#All],G$2,0)/G$1,"")</f>
        <v>4.1470307403443787</v>
      </c>
      <c r="H22" s="168">
        <f>IFERROR(VLOOKUP($B22,RD[#All],H$2,0)/H$1,"")</f>
        <v>4.0805010717781602</v>
      </c>
      <c r="I22" s="168">
        <f>IFERROR(VLOOKUP($B22,RD[#All],I$2,0)/I$1,"")</f>
        <v>4.1468562903509518</v>
      </c>
      <c r="J22" s="168">
        <f>IFERROR(VLOOKUP($B22,RD[#All],J$2,0)/J$1,"")</f>
        <v>4.0498201459922436</v>
      </c>
      <c r="K22" s="168">
        <f>IFERROR(VLOOKUP($B22,RD[#All],K$2,0)/K$1,"")</f>
        <v>4.0553399589840664</v>
      </c>
      <c r="L22" s="168">
        <f>IFERROR(VLOOKUP($B22,RD[#All],L$2,0)/L$1,"")</f>
        <v>4.234594665615556</v>
      </c>
      <c r="M22" s="168">
        <f>IFERROR(VLOOKUP($B22,RD[#All],M$2,0)/M$1,"")</f>
        <v>4.384681074689615</v>
      </c>
      <c r="N22" s="168">
        <f>IFERROR(VLOOKUP($B22,RD[#All],N$2,0)/N$1,"")</f>
        <v>4.1550969591790539</v>
      </c>
      <c r="O22" s="168">
        <f>IFERROR(VLOOKUP($B22,RD[#All],O$2,0)/O$1,"")</f>
        <v>4.2629366668168629</v>
      </c>
      <c r="P22" s="168">
        <f>IFERROR(VLOOKUP($B22,RD[#All],P$2,0)/P$1,"")</f>
        <v>4.1953357488824974</v>
      </c>
      <c r="Q22" s="168">
        <f>IFERROR(VLOOKUP($B22,RD[#All],Q$2,0)/Q$1,"")</f>
        <v>4.1902151772156584</v>
      </c>
      <c r="R22" s="168">
        <f>IFERROR(VLOOKUP($B22,RD[#All],R$2,0)/R$1,"")</f>
        <v>4.1510624191357746</v>
      </c>
      <c r="S22" s="168">
        <f>IFERROR(VLOOKUP($B22,RD[#All],S$2,0)/S$1,"")</f>
        <v>4.1021013922917131</v>
      </c>
      <c r="T22" s="168">
        <f>IFERROR(VLOOKUP($B22,RD[#All],T$2,0)/T$1,"")</f>
        <v>4.1514536849222443</v>
      </c>
      <c r="U22" s="168">
        <f>IFERROR(VLOOKUP($B22,RD[#All],U$2,0)/U$1,"")</f>
        <v>4.12937381868106</v>
      </c>
      <c r="V22" s="168">
        <f>IFERROR(VLOOKUP($B22,RD[#All],V$2,0)/V$1,"")</f>
        <v>4.1201503684749694</v>
      </c>
      <c r="W22" s="168">
        <f>IFERROR(VLOOKUP($B22,RD[#All],W$2,0)/W$1,"")</f>
        <v>4.2976819006764559</v>
      </c>
      <c r="X22" s="168">
        <f>IFERROR(VLOOKUP($B22,RD[#All],X$2,0)/X$1,"")</f>
        <v>4.4446780444962881</v>
      </c>
      <c r="Y22" s="168">
        <f>IFERROR(VLOOKUP($B22,RD[#All],Y$2,0)/Y$1,"")</f>
        <v>4.4414490002705067</v>
      </c>
      <c r="Z22" s="168">
        <f>IFERROR(VLOOKUP($B22,RD[#All],Z$2,0)/Z$1,"")</f>
        <v>4.4025476220398936</v>
      </c>
      <c r="AA22" s="168">
        <f>IFERROR(VLOOKUP($B22,RD[#All],AA$2,0)/AA$1,"")</f>
        <v>4.4412115102639298</v>
      </c>
      <c r="AB22" s="168">
        <f>IFERROR(VLOOKUP($B22,RD[#All],AB$2,0)/AB$1,"")</f>
        <v>4.3491890418427142</v>
      </c>
      <c r="AC22" s="168">
        <f>IFERROR(VLOOKUP($B22,RD[#All],AC$2,0)/AC$1,"")</f>
        <v>4.4145358513403847</v>
      </c>
      <c r="AD22" s="168">
        <f>IFERROR(VLOOKUP($B22,RD[#All],AD$2,0)/AD$1,"")</f>
        <v>4.3807113481267228</v>
      </c>
      <c r="AE22" s="168">
        <f>IFERROR(VLOOKUP($B22,RD[#All],AE$2,0)/AE$1,"")</f>
        <v>3.9355417297236701</v>
      </c>
      <c r="AF22" s="168">
        <f>IFERROR(VLOOKUP($B22,RD[#All],AF$2,0)/AF$1,"")</f>
        <v>3.9176379176379172</v>
      </c>
      <c r="AG22" s="168">
        <f>IFERROR(VLOOKUP($B22,RD[#All],AG$2,0)/AG$1,"")</f>
        <v>4.0175003407387218</v>
      </c>
      <c r="AH22" s="168">
        <f>IFERROR(VLOOKUP($B22,RD[#All],AH$2,0)/AH$1,"")</f>
        <v>4.009645785327689</v>
      </c>
      <c r="AI22" s="168">
        <f>IFERROR(VLOOKUP($B22,RD[#All],AI$2,0)/AI$1,"")</f>
        <v>3.9478806051519695</v>
      </c>
      <c r="AJ22" s="168">
        <f>IFERROR(VLOOKUP($B22,RD[#All],AJ$2,0)/AJ$1,"")</f>
        <v>3.9086430810568742</v>
      </c>
      <c r="AK22" s="168">
        <f>IFERROR(VLOOKUP($B22,RD[#All],AK$2,0)/AK$1,"")</f>
        <v>3.9022368630784761</v>
      </c>
      <c r="AL22" s="168">
        <f>IFERROR(VLOOKUP($B22,RD[#All],AL$2,0)/AL$1,"")</f>
        <v>3.9758944978921198</v>
      </c>
      <c r="AM22" s="168">
        <f>IFERROR(VLOOKUP($B22,RD[#All],AM$2,0)/AM$1,"")</f>
        <v>4.0129369240813908</v>
      </c>
      <c r="AN22" s="168">
        <f>IFERROR(VLOOKUP($B22,RD[#All],AN$2,0)/AN$1,"")</f>
        <v>4.0709578843215519</v>
      </c>
      <c r="AO22" s="168">
        <f>IFERROR(VLOOKUP($B22,RD[#All],AO$2,0)/AO$1,"")</f>
        <v>4.0887949544649889</v>
      </c>
      <c r="AP22" s="168">
        <f>IFERROR(VLOOKUP($B22,RD[#All],AP$2,0)/AP$1,"")</f>
        <v>4.0697463097457716</v>
      </c>
      <c r="AQ22" s="168">
        <f>IFERROR(VLOOKUP($B22,RD[#All],AQ$2,0)/AQ$1,"")</f>
        <v>4.0778494340615943</v>
      </c>
      <c r="AR22" s="168">
        <f>IFERROR(VLOOKUP($B22,RD[#All],AR$2,0)/AR$1,"")</f>
        <v>4.0614062838209097</v>
      </c>
      <c r="AS22" s="168">
        <f>IFERROR(VLOOKUP($B22,RD[#All],AS$2,0)/AS$1,"")</f>
        <v>3.876879093582668</v>
      </c>
      <c r="AT22" s="168">
        <f>IFERROR(VLOOKUP($B22,RD[#All],AT$2,0)/AT$1,"")</f>
        <v>3.8954976849426992</v>
      </c>
      <c r="AU22" s="168">
        <f>IFERROR(VLOOKUP($B22,RD[#All],AU$2,0)/AU$1,"")</f>
        <v>3.9409779160583835</v>
      </c>
      <c r="AV22" s="168">
        <f>IFERROR(VLOOKUP($B22,RD[#All],AV$2,0)/AV$1,"")</f>
        <v>3.9574194827822282</v>
      </c>
      <c r="AW22" s="168">
        <f>IFERROR(VLOOKUP($B22,RD[#All],AW$2,0)/AW$1,"")</f>
        <v>4.0424119491056612</v>
      </c>
      <c r="AX22" s="168">
        <f>IFERROR(VLOOKUP($B22,RD[#All],AX$2,0)/AX$1,"")</f>
        <v>4.1636951410658307</v>
      </c>
      <c r="AY22" s="168">
        <f>IFERROR(VLOOKUP($B22,RD[#All],AY$2,0)/AY$1,"")</f>
        <v>4.5444297254474133</v>
      </c>
      <c r="AZ22" s="168">
        <f>IFERROR(VLOOKUP($B22,RD[#All],AZ$2,0)/AZ$1,"")</f>
        <v>4.8350187076549709</v>
      </c>
      <c r="BA22" s="168">
        <f>IFERROR(VLOOKUP($B22,RD[#All],BA$2,0)/BA$1,"")</f>
        <v>4.5318391469809365</v>
      </c>
      <c r="BB22" s="168">
        <f>IFERROR(VLOOKUP($B22,RD[#All],BB$2,0)/BB$1,"")</f>
        <v>4.6812957157784751</v>
      </c>
      <c r="BC22" s="168">
        <f>IFERROR(VLOOKUP($B22,RD[#All],BC$2,0)/BC$1,"")</f>
        <v>4.6762651141961484</v>
      </c>
      <c r="BD22" s="168">
        <f>IFERROR(VLOOKUP($B22,RD[#All],BD$2,0)/BD$1,"")</f>
        <v>4.7144078564033105</v>
      </c>
      <c r="BE22" s="168">
        <f>IFERROR(VLOOKUP($B22,RD[#All],BE$2,0)/BE$1,"")</f>
        <v>4.8815452451643155</v>
      </c>
      <c r="BF22" s="168">
        <f>IFERROR(VLOOKUP($B22,RD[#All],BF$2,0)/BF$1,"")</f>
        <v>4.9625075882589327</v>
      </c>
      <c r="BG22" s="168">
        <f>IFERROR(VLOOKUP($B22,RD[#All],BG$2,0)/BG$1,"")</f>
        <v>4.9718155934543153</v>
      </c>
      <c r="BH22" s="168">
        <f>IFERROR(VLOOKUP($B22,RD[#All],BH$2,0)/BH$1,"")</f>
        <v>4.93874205516091</v>
      </c>
      <c r="BI22" s="168">
        <f>IFERROR(VLOOKUP($B22,RD[#All],BI$2,0)/BI$1,"")</f>
        <v>4.8784111345687702</v>
      </c>
      <c r="BJ22" s="168">
        <f>IFERROR(VLOOKUP($B22,RD[#All],BJ$2,0)/BJ$1,"")</f>
        <v>4.9706120655323476</v>
      </c>
      <c r="BK22" s="168">
        <f>IFERROR(VLOOKUP($B22,RD[#All],BK$2,0)/BK$1,"")</f>
        <v>4.8356622342423563</v>
      </c>
      <c r="BL22" s="168">
        <f>IFERROR(VLOOKUP($B22,RD[#All],BL$2,0)/BL$1,"")</f>
        <v>4.8235643289255989</v>
      </c>
      <c r="BM22" s="168">
        <f>IFERROR(VLOOKUP($B22,RD[#All],BM$2,0)/BM$1,"")</f>
        <v>4.8912634056235067</v>
      </c>
      <c r="BN22" s="168">
        <f>IFERROR(VLOOKUP($B22,RD[#All],BN$2,0)/BN$1,"")</f>
        <v>4.852989397748388</v>
      </c>
      <c r="BO22" s="168">
        <f>IFERROR(VLOOKUP($B22,RD[#All],BO$2,0)/BO$1,"")</f>
        <v>4.7068209014758677</v>
      </c>
      <c r="BP22" s="168">
        <f>IFERROR(VLOOKUP($B22,RD[#All],BP$2,0)/BP$1,"")</f>
        <v>4.8339770311167154</v>
      </c>
      <c r="BQ22" s="168">
        <f>IFERROR(VLOOKUP($B22,RD[#All],BQ$2,0)/BQ$1,"")</f>
        <v>4.6615087040618954</v>
      </c>
      <c r="BR22" s="168">
        <f>IFERROR(VLOOKUP($B22,RD[#All],BR$2,0)/BR$1,"")</f>
        <v>5.0292224606051636</v>
      </c>
      <c r="BS22" s="168">
        <f>IFERROR(VLOOKUP($B22,RD[#All],BS$2,0)/BS$1,"")</f>
        <v>4.5687846914589914</v>
      </c>
      <c r="BT22" s="168">
        <f>IFERROR(VLOOKUP($B22,RD[#All],BT$2,0)/BT$1,"")</f>
        <v>4.8685293919146924</v>
      </c>
      <c r="BU22" s="168">
        <f>IFERROR(VLOOKUP($B22,RD[#All],BU$2,0)/BU$1,"")</f>
        <v>4.3376096733760967</v>
      </c>
      <c r="BV22" s="168">
        <f>IFERROR(VLOOKUP($B22,RD[#All],BV$2,0)/BV$1,"")</f>
        <v>4.9415789473684208</v>
      </c>
      <c r="BW22" s="168">
        <f>IFERROR(VLOOKUP($B22,RD[#All],BW$2,0)/BW$1,"")</f>
        <v>4.807408208121644</v>
      </c>
      <c r="BX22" s="168">
        <f>IFERROR(VLOOKUP($B22,RD[#All],BX$2,0)/BX$1,"")</f>
        <v>4.7670681405708626</v>
      </c>
      <c r="BY22" s="168">
        <f>AVERAGEIF(Inv_SY_B[[#This Row],[IS1Inv1M1]:[IS4Inv4M2]],"&gt;="&amp;0.1,Inv_SY_B[[#This Row],[IS1Inv1M1]:[IS4Inv4M2]])</f>
        <v>4.2187331151230509</v>
      </c>
      <c r="BZ22" s="168">
        <f>AVERAGEIF(Inv_SY_B[[#This Row],[IS5Inv1M1]:[IS9Inv2M2]],"&gt;="&amp;0.1,Inv_SY_B[[#This Row],[IS5Inv1M1]:[IS9Inv2M2]])</f>
        <v>3.9815248215816457</v>
      </c>
      <c r="CA22" s="168">
        <f>AVERAGEIF(Inv_SY_B[[#This Row],[IS10Inv1M1]:[IS14Inv2M4]],"&gt;="&amp;0.1,Inv_SY_B[[#This Row],[IS10Inv1M1]:[IS14Inv2M4]])</f>
        <v>4.7399637341208054</v>
      </c>
    </row>
    <row r="23" spans="2:79">
      <c r="B23" s="173">
        <f t="shared" si="32"/>
        <v>45856</v>
      </c>
      <c r="C23" s="168">
        <f>IFERROR(VLOOKUP($B23,RD[#All],C$2,0)/C$1,"")</f>
        <v>3.1890522174647074</v>
      </c>
      <c r="D23" s="168">
        <f>IFERROR(VLOOKUP($B23,RD[#All],D$2,0)/D$1,"")</f>
        <v>3.1753956793971074</v>
      </c>
      <c r="E23" s="168">
        <f>IFERROR(VLOOKUP($B23,RD[#All],E$2,0)/E$1,"")</f>
        <v>3.1443080970379134</v>
      </c>
      <c r="F23" s="168">
        <f>IFERROR(VLOOKUP($B23,RD[#All],F$2,0)/F$1,"")</f>
        <v>3.1153275037122587</v>
      </c>
      <c r="G23" s="168">
        <f>IFERROR(VLOOKUP($B23,RD[#All],G$2,0)/G$1,"")</f>
        <v>3.1176745765753067</v>
      </c>
      <c r="H23" s="168">
        <f>IFERROR(VLOOKUP($B23,RD[#All],H$2,0)/H$1,"")</f>
        <v>3.1199895919808691</v>
      </c>
      <c r="I23" s="168">
        <f>IFERROR(VLOOKUP($B23,RD[#All],I$2,0)/I$1,"")</f>
        <v>3.176869906252239</v>
      </c>
      <c r="J23" s="168">
        <f>IFERROR(VLOOKUP($B23,RD[#All],J$2,0)/J$1,"")</f>
        <v>3.2094273963935462</v>
      </c>
      <c r="K23" s="168">
        <f>IFERROR(VLOOKUP($B23,RD[#All],K$2,0)/K$1,"")</f>
        <v>3.0902666035652313</v>
      </c>
      <c r="L23" s="168">
        <f>IFERROR(VLOOKUP($B23,RD[#All],L$2,0)/L$1,"")</f>
        <v>3.1849297070030222</v>
      </c>
      <c r="M23" s="168">
        <f>IFERROR(VLOOKUP($B23,RD[#All],M$2,0)/M$1,"")</f>
        <v>3.2789200551796625</v>
      </c>
      <c r="N23" s="168">
        <f>IFERROR(VLOOKUP($B23,RD[#All],N$2,0)/N$1,"")</f>
        <v>3.1371513368042456</v>
      </c>
      <c r="O23" s="168">
        <f>IFERROR(VLOOKUP($B23,RD[#All],O$2,0)/O$1,"")</f>
        <v>3.2245917362394034</v>
      </c>
      <c r="P23" s="168">
        <f>IFERROR(VLOOKUP($B23,RD[#All],P$2,0)/P$1,"")</f>
        <v>3.0882298009039633</v>
      </c>
      <c r="Q23" s="168">
        <f>IFERROR(VLOOKUP($B23,RD[#All],Q$2,0)/Q$1,"")</f>
        <v>3.1901904867720949</v>
      </c>
      <c r="R23" s="168">
        <f>IFERROR(VLOOKUP($B23,RD[#All],R$2,0)/R$1,"")</f>
        <v>3.194144947313537</v>
      </c>
      <c r="S23" s="168">
        <f>IFERROR(VLOOKUP($B23,RD[#All],S$2,0)/S$1,"")</f>
        <v>3.1427246735182752</v>
      </c>
      <c r="T23" s="168">
        <f>IFERROR(VLOOKUP($B23,RD[#All],T$2,0)/T$1,"")</f>
        <v>3.1868514492313551</v>
      </c>
      <c r="U23" s="168">
        <f>IFERROR(VLOOKUP($B23,RD[#All],U$2,0)/U$1,"")</f>
        <v>3.1902428932792941</v>
      </c>
      <c r="V23" s="168">
        <f>IFERROR(VLOOKUP($B23,RD[#All],V$2,0)/V$1,"")</f>
        <v>3.206476855800604</v>
      </c>
      <c r="W23" s="168">
        <f>IFERROR(VLOOKUP($B23,RD[#All],W$2,0)/W$1,"")</f>
        <v>3.1138426002309849</v>
      </c>
      <c r="X23" s="168">
        <f>IFERROR(VLOOKUP($B23,RD[#All],X$2,0)/X$1,"")</f>
        <v>3.1403081033974107</v>
      </c>
      <c r="Y23" s="168">
        <f>IFERROR(VLOOKUP($B23,RD[#All],Y$2,0)/Y$1,"")</f>
        <v>3.2028939658611062</v>
      </c>
      <c r="Z23" s="168">
        <f>IFERROR(VLOOKUP($B23,RD[#All],Z$2,0)/Z$1,"")</f>
        <v>3.1954792725183574</v>
      </c>
      <c r="AA23" s="168">
        <f>IFERROR(VLOOKUP($B23,RD[#All],AA$2,0)/AA$1,"")</f>
        <v>3.1834219208211141</v>
      </c>
      <c r="AB23" s="168">
        <f>IFERROR(VLOOKUP($B23,RD[#All],AB$2,0)/AB$1,"")</f>
        <v>3.1220753259733764</v>
      </c>
      <c r="AC23" s="168">
        <f>IFERROR(VLOOKUP($B23,RD[#All],AC$2,0)/AC$1,"")</f>
        <v>3.1835916903933352</v>
      </c>
      <c r="AD23" s="168">
        <f>IFERROR(VLOOKUP($B23,RD[#All],AD$2,0)/AD$1,"")</f>
        <v>3.1555565598589954</v>
      </c>
      <c r="AE23" s="168">
        <f>IFERROR(VLOOKUP($B23,RD[#All],AE$2,0)/AE$1,"")</f>
        <v>3.2789641836219943</v>
      </c>
      <c r="AF23" s="168">
        <f>IFERROR(VLOOKUP($B23,RD[#All],AF$2,0)/AF$1,"")</f>
        <v>3.2036009967044445</v>
      </c>
      <c r="AG23" s="168">
        <f>IFERROR(VLOOKUP($B23,RD[#All],AG$2,0)/AG$1,"")</f>
        <v>3.2310208532097588</v>
      </c>
      <c r="AH23" s="168">
        <f>IFERROR(VLOOKUP($B23,RD[#All],AH$2,0)/AH$1,"")</f>
        <v>3.192326241894861</v>
      </c>
      <c r="AI23" s="168">
        <f>IFERROR(VLOOKUP($B23,RD[#All],AI$2,0)/AI$1,"")</f>
        <v>3.2684748534823496</v>
      </c>
      <c r="AJ23" s="168">
        <f>IFERROR(VLOOKUP($B23,RD[#All],AJ$2,0)/AJ$1,"")</f>
        <v>3.2220436764047315</v>
      </c>
      <c r="AK23" s="168">
        <f>IFERROR(VLOOKUP($B23,RD[#All],AK$2,0)/AK$1,"")</f>
        <v>3.258594123585357</v>
      </c>
      <c r="AL23" s="168">
        <f>IFERROR(VLOOKUP($B23,RD[#All],AL$2,0)/AL$1,"")</f>
        <v>3.2806183115338881</v>
      </c>
      <c r="AM23" s="168">
        <f>IFERROR(VLOOKUP($B23,RD[#All],AM$2,0)/AM$1,"")</f>
        <v>3.2836363391601093</v>
      </c>
      <c r="AN23" s="168">
        <f>IFERROR(VLOOKUP($B23,RD[#All],AN$2,0)/AN$1,"")</f>
        <v>3.3052427524281973</v>
      </c>
      <c r="AO23" s="168">
        <f>IFERROR(VLOOKUP($B23,RD[#All],AO$2,0)/AO$1,"")</f>
        <v>3.2990502601519851</v>
      </c>
      <c r="AP23" s="168">
        <f>IFERROR(VLOOKUP($B23,RD[#All],AP$2,0)/AP$1,"")</f>
        <v>3.2454717400230195</v>
      </c>
      <c r="AQ23" s="168">
        <f>IFERROR(VLOOKUP($B23,RD[#All],AQ$2,0)/AQ$1,"")</f>
        <v>3.2694130034219526</v>
      </c>
      <c r="AR23" s="168">
        <f>IFERROR(VLOOKUP($B23,RD[#All],AR$2,0)/AR$1,"")</f>
        <v>3.2675202717327965</v>
      </c>
      <c r="AS23" s="168">
        <f>IFERROR(VLOOKUP($B23,RD[#All],AS$2,0)/AS$1,"")</f>
        <v>3.2570096195531182</v>
      </c>
      <c r="AT23" s="168">
        <f>IFERROR(VLOOKUP($B23,RD[#All],AT$2,0)/AT$1,"")</f>
        <v>3.3092120424881104</v>
      </c>
      <c r="AU23" s="168">
        <f>IFERROR(VLOOKUP($B23,RD[#All],AU$2,0)/AU$1,"")</f>
        <v>3.3166255017428576</v>
      </c>
      <c r="AV23" s="168">
        <f>IFERROR(VLOOKUP($B23,RD[#All],AV$2,0)/AV$1,"")</f>
        <v>3.2890120734511554</v>
      </c>
      <c r="AW23" s="168">
        <f>IFERROR(VLOOKUP($B23,RD[#All],AW$2,0)/AW$1,"")</f>
        <v>3.2474645030425964</v>
      </c>
      <c r="AX23" s="168">
        <f>IFERROR(VLOOKUP($B23,RD[#All],AX$2,0)/AX$1,"")</f>
        <v>3.3122061128526648</v>
      </c>
      <c r="AY23" s="168">
        <f>IFERROR(VLOOKUP($B23,RD[#All],AY$2,0)/AY$1,"")</f>
        <v>3.1666277046157045</v>
      </c>
      <c r="AZ23" s="168">
        <f>IFERROR(VLOOKUP($B23,RD[#All],AZ$2,0)/AZ$1,"")</f>
        <v>3.3809788654060067</v>
      </c>
      <c r="BA23" s="168">
        <f>IFERROR(VLOOKUP($B23,RD[#All],BA$2,0)/BA$1,"")</f>
        <v>3.1748390943687412</v>
      </c>
      <c r="BB23" s="168">
        <f>IFERROR(VLOOKUP($B23,RD[#All],BB$2,0)/BB$1,"")</f>
        <v>3.2354654394272884</v>
      </c>
      <c r="BC23" s="168">
        <f>IFERROR(VLOOKUP($B23,RD[#All],BC$2,0)/BC$1,"")</f>
        <v>3.2232422749664127</v>
      </c>
      <c r="BD23" s="168">
        <f>IFERROR(VLOOKUP($B23,RD[#All],BD$2,0)/BD$1,"")</f>
        <v>3.268299497524759</v>
      </c>
      <c r="BE23" s="168">
        <f>IFERROR(VLOOKUP($B23,RD[#All],BE$2,0)/BE$1,"")</f>
        <v>3.214618138830196</v>
      </c>
      <c r="BF23" s="168">
        <f>IFERROR(VLOOKUP($B23,RD[#All],BF$2,0)/BF$1,"")</f>
        <v>3.2174217874945494</v>
      </c>
      <c r="BG23" s="168">
        <f>IFERROR(VLOOKUP($B23,RD[#All],BG$2,0)/BG$1,"")</f>
        <v>3.2872221103793393</v>
      </c>
      <c r="BH23" s="168">
        <f>IFERROR(VLOOKUP($B23,RD[#All],BH$2,0)/BH$1,"")</f>
        <v>3.2469586724569326</v>
      </c>
      <c r="BI23" s="168">
        <f>IFERROR(VLOOKUP($B23,RD[#All],BI$2,0)/BI$1,"")</f>
        <v>3.2827690463158441</v>
      </c>
      <c r="BJ23" s="168">
        <f>IFERROR(VLOOKUP($B23,RD[#All],BJ$2,0)/BJ$1,"")</f>
        <v>3.3075158955767034</v>
      </c>
      <c r="BK23" s="168">
        <f>IFERROR(VLOOKUP($B23,RD[#All],BK$2,0)/BK$1,"")</f>
        <v>3.3186837953572237</v>
      </c>
      <c r="BL23" s="168">
        <f>IFERROR(VLOOKUP($B23,RD[#All],BL$2,0)/BL$1,"")</f>
        <v>3.279278596597583</v>
      </c>
      <c r="BM23" s="168">
        <f>IFERROR(VLOOKUP($B23,RD[#All],BM$2,0)/BM$1,"")</f>
        <v>3.2621882316781021</v>
      </c>
      <c r="BN23" s="168">
        <f>IFERROR(VLOOKUP($B23,RD[#All],BN$2,0)/BN$1,"")</f>
        <v>3.2750199906806037</v>
      </c>
      <c r="BO23" s="168">
        <f>IFERROR(VLOOKUP($B23,RD[#All],BO$2,0)/BO$1,"")</f>
        <v>3.2229756681292381</v>
      </c>
      <c r="BP23" s="168">
        <f>IFERROR(VLOOKUP($B23,RD[#All],BP$2,0)/BP$1,"")</f>
        <v>3.1939767869204014</v>
      </c>
      <c r="BQ23" s="168">
        <f>IFERROR(VLOOKUP($B23,RD[#All],BQ$2,0)/BQ$1,"")</f>
        <v>3.0967117988394581</v>
      </c>
      <c r="BR23" s="168">
        <f>IFERROR(VLOOKUP($B23,RD[#All],BR$2,0)/BR$1,"")</f>
        <v>3.3096101205888884</v>
      </c>
      <c r="BS23" s="168">
        <f>IFERROR(VLOOKUP($B23,RD[#All],BS$2,0)/BS$1,"")</f>
        <v>2.8077269663857276</v>
      </c>
      <c r="BT23" s="168">
        <f>IFERROR(VLOOKUP($B23,RD[#All],BT$2,0)/BT$1,"")</f>
        <v>3.2436390632381724</v>
      </c>
      <c r="BU23" s="168">
        <f>IFERROR(VLOOKUP($B23,RD[#All],BU$2,0)/BU$1,"")</f>
        <v>3.1480498414804985</v>
      </c>
      <c r="BV23" s="168">
        <f>IFERROR(VLOOKUP($B23,RD[#All],BV$2,0)/BV$1,"")</f>
        <v>2.9836842105263157</v>
      </c>
      <c r="BW23" s="168">
        <f>IFERROR(VLOOKUP($B23,RD[#All],BW$2,0)/BW$1,"")</f>
        <v>3.1521637300472021</v>
      </c>
      <c r="BX23" s="168">
        <f>IFERROR(VLOOKUP($B23,RD[#All],BX$2,0)/BX$1,"")</f>
        <v>3.1988120772149808</v>
      </c>
      <c r="BY23" s="168">
        <f>AVERAGEIF(Inv_SY_B[[#This Row],[IS1Inv1M1]:[IS4Inv4M2]],"&gt;="&amp;0.1,Inv_SY_B[[#This Row],[IS1Inv1M1]:[IS4Inv4M2]])</f>
        <v>3.166426248338547</v>
      </c>
      <c r="BZ23" s="168">
        <f>AVERAGEIF(Inv_SY_B[[#This Row],[IS5Inv1M1]:[IS9Inv2M2]],"&gt;="&amp;0.1,Inv_SY_B[[#This Row],[IS5Inv1M1]:[IS9Inv2M2]])</f>
        <v>3.2654353802550387</v>
      </c>
      <c r="CA23" s="168">
        <f>AVERAGEIF(Inv_SY_B[[#This Row],[IS10Inv1M1]:[IS14Inv2M4]],"&gt;="&amp;0.1,Inv_SY_B[[#This Row],[IS10Inv1M1]:[IS14Inv2M4]])</f>
        <v>3.216362500747934</v>
      </c>
    </row>
    <row r="24" spans="2:79">
      <c r="B24" s="173">
        <f t="shared" si="32"/>
        <v>45857</v>
      </c>
      <c r="C24" s="168">
        <f>IFERROR(VLOOKUP($B24,RD[#All],C$2,0)/C$1,"")</f>
        <v>4.8047835470038613</v>
      </c>
      <c r="D24" s="168">
        <f>IFERROR(VLOOKUP($B24,RD[#All],D$2,0)/D$1,"")</f>
        <v>4.768261704373538</v>
      </c>
      <c r="E24" s="168">
        <f>IFERROR(VLOOKUP($B24,RD[#All],E$2,0)/E$1,"")</f>
        <v>4.8108693118433541</v>
      </c>
      <c r="F24" s="168">
        <f>IFERROR(VLOOKUP($B24,RD[#All],F$2,0)/F$1,"")</f>
        <v>4.8213166144200628</v>
      </c>
      <c r="G24" s="168">
        <f>IFERROR(VLOOKUP($B24,RD[#All],G$2,0)/G$1,"")</f>
        <v>4.8118860101634739</v>
      </c>
      <c r="H24" s="168">
        <f>IFERROR(VLOOKUP($B24,RD[#All],H$2,0)/H$1,"")</f>
        <v>4.7712094366040114</v>
      </c>
      <c r="I24" s="168">
        <f>IFERROR(VLOOKUP($B24,RD[#All],I$2,0)/I$1,"")</f>
        <v>4.8746881046535107</v>
      </c>
      <c r="J24" s="168">
        <f>IFERROR(VLOOKUP($B24,RD[#All],J$2,0)/J$1,"")</f>
        <v>4.7752703668553087</v>
      </c>
      <c r="K24" s="168">
        <f>IFERROR(VLOOKUP($B24,RD[#All],K$2,0)/K$1,"")</f>
        <v>4.6792238523426404</v>
      </c>
      <c r="L24" s="168">
        <f>IFERROR(VLOOKUP($B24,RD[#All],L$2,0)/L$1,"")</f>
        <v>4.8805675995269997</v>
      </c>
      <c r="M24" s="168">
        <f>IFERROR(VLOOKUP($B24,RD[#All],M$2,0)/M$1,"")</f>
        <v>4.9969125665112006</v>
      </c>
      <c r="N24" s="168">
        <f>IFERROR(VLOOKUP($B24,RD[#All],N$2,0)/N$1,"")</f>
        <v>4.7563444754646751</v>
      </c>
      <c r="O24" s="168">
        <f>IFERROR(VLOOKUP($B24,RD[#All],O$2,0)/O$1,"")</f>
        <v>4.9147425540543148</v>
      </c>
      <c r="P24" s="168">
        <f>IFERROR(VLOOKUP($B24,RD[#All],P$2,0)/P$1,"")</f>
        <v>4.7309900016186672</v>
      </c>
      <c r="Q24" s="168">
        <f>IFERROR(VLOOKUP($B24,RD[#All],Q$2,0)/Q$1,"")</f>
        <v>4.8391417601817217</v>
      </c>
      <c r="R24" s="168">
        <f>IFERROR(VLOOKUP($B24,RD[#All],R$2,0)/R$1,"")</f>
        <v>4.8575824090941264</v>
      </c>
      <c r="S24" s="168">
        <f>IFERROR(VLOOKUP($B24,RD[#All],S$2,0)/S$1,"")</f>
        <v>4.7688377568785034</v>
      </c>
      <c r="T24" s="168">
        <f>IFERROR(VLOOKUP($B24,RD[#All],T$2,0)/T$1,"")</f>
        <v>4.7096476418360034</v>
      </c>
      <c r="U24" s="168">
        <f>IFERROR(VLOOKUP($B24,RD[#All],U$2,0)/U$1,"")</f>
        <v>4.8071805384463486</v>
      </c>
      <c r="V24" s="168">
        <f>IFERROR(VLOOKUP($B24,RD[#All],V$2,0)/V$1,"")</f>
        <v>4.7944618189531072</v>
      </c>
      <c r="W24" s="168">
        <f>IFERROR(VLOOKUP($B24,RD[#All],W$2,0)/W$1,"")</f>
        <v>4.7287163834350761</v>
      </c>
      <c r="X24" s="168">
        <f>IFERROR(VLOOKUP($B24,RD[#All],X$2,0)/X$1,"")</f>
        <v>4.8600716850739731</v>
      </c>
      <c r="Y24" s="168">
        <f>IFERROR(VLOOKUP($B24,RD[#All],Y$2,0)/Y$1,"")</f>
        <v>4.8471635741762142</v>
      </c>
      <c r="Z24" s="168">
        <f>IFERROR(VLOOKUP($B24,RD[#All],Z$2,0)/Z$1,"")</f>
        <v>4.7834341729654026</v>
      </c>
      <c r="AA24" s="168">
        <f>IFERROR(VLOOKUP($B24,RD[#All],AA$2,0)/AA$1,"")</f>
        <v>4.8585960410557183</v>
      </c>
      <c r="AB24" s="168">
        <f>IFERROR(VLOOKUP($B24,RD[#All],AB$2,0)/AB$1,"")</f>
        <v>4.8271318886011532</v>
      </c>
      <c r="AC24" s="168">
        <f>IFERROR(VLOOKUP($B24,RD[#All],AC$2,0)/AC$1,"")</f>
        <v>4.8162615939736551</v>
      </c>
      <c r="AD24" s="168">
        <f>IFERROR(VLOOKUP($B24,RD[#All],AD$2,0)/AD$1,"")</f>
        <v>4.7923803497988882</v>
      </c>
      <c r="AE24" s="168">
        <f>IFERROR(VLOOKUP($B24,RD[#All],AE$2,0)/AE$1,"")</f>
        <v>5.047082562636624</v>
      </c>
      <c r="AF24" s="168">
        <f>IFERROR(VLOOKUP($B24,RD[#All],AF$2,0)/AF$1,"")</f>
        <v>4.9900061624199559</v>
      </c>
      <c r="AG24" s="168">
        <f>IFERROR(VLOOKUP($B24,RD[#All],AG$2,0)/AG$1,"")</f>
        <v>5.072863568215892</v>
      </c>
      <c r="AH24" s="168">
        <f>IFERROR(VLOOKUP($B24,RD[#All],AH$2,0)/AH$1,"")</f>
        <v>5.0607148598681739</v>
      </c>
      <c r="AI24" s="168">
        <f>IFERROR(VLOOKUP($B24,RD[#All],AI$2,0)/AI$1,"")</f>
        <v>5.0307755213302441</v>
      </c>
      <c r="AJ24" s="168">
        <f>IFERROR(VLOOKUP($B24,RD[#All],AJ$2,0)/AJ$1,"")</f>
        <v>4.9466030926477176</v>
      </c>
      <c r="AK24" s="168">
        <f>IFERROR(VLOOKUP($B24,RD[#All],AK$2,0)/AK$1,"")</f>
        <v>4.9666330163115671</v>
      </c>
      <c r="AL24" s="168">
        <f>IFERROR(VLOOKUP($B24,RD[#All],AL$2,0)/AL$1,"")</f>
        <v>5.0356177710517782</v>
      </c>
      <c r="AM24" s="168">
        <f>IFERROR(VLOOKUP($B24,RD[#All],AM$2,0)/AM$1,"")</f>
        <v>5.024399765762249</v>
      </c>
      <c r="AN24" s="168">
        <f>IFERROR(VLOOKUP($B24,RD[#All],AN$2,0)/AN$1,"")</f>
        <v>5.0855842818391697</v>
      </c>
      <c r="AO24" s="168">
        <f>IFERROR(VLOOKUP($B24,RD[#All],AO$2,0)/AO$1,"")</f>
        <v>5.1117004449171084</v>
      </c>
      <c r="AP24" s="168">
        <f>IFERROR(VLOOKUP($B24,RD[#All],AP$2,0)/AP$1,"")</f>
        <v>5.0814783902212461</v>
      </c>
      <c r="AQ24" s="168">
        <f>IFERROR(VLOOKUP($B24,RD[#All],AQ$2,0)/AQ$1,"")</f>
        <v>5.0873914187944189</v>
      </c>
      <c r="AR24" s="168">
        <f>IFERROR(VLOOKUP($B24,RD[#All],AR$2,0)/AR$1,"")</f>
        <v>5.070880301037314</v>
      </c>
      <c r="AS24" s="168">
        <f>IFERROR(VLOOKUP($B24,RD[#All],AS$2,0)/AS$1,"")</f>
        <v>4.921180592170785</v>
      </c>
      <c r="AT24" s="168">
        <f>IFERROR(VLOOKUP($B24,RD[#All],AT$2,0)/AT$1,"")</f>
        <v>4.9176426221952187</v>
      </c>
      <c r="AU24" s="168">
        <f>IFERROR(VLOOKUP($B24,RD[#All],AU$2,0)/AU$1,"")</f>
        <v>5.1213035010985379</v>
      </c>
      <c r="AV24" s="168">
        <f>IFERROR(VLOOKUP($B24,RD[#All],AV$2,0)/AV$1,"")</f>
        <v>5.013763828752472</v>
      </c>
      <c r="AW24" s="168">
        <f>IFERROR(VLOOKUP($B24,RD[#All],AW$2,0)/AW$1,"")</f>
        <v>4.3183201180158584</v>
      </c>
      <c r="AX24" s="168">
        <f>IFERROR(VLOOKUP($B24,RD[#All],AX$2,0)/AX$1,"")</f>
        <v>4.4158992946708464</v>
      </c>
      <c r="AY24" s="168">
        <f>IFERROR(VLOOKUP($B24,RD[#All],AY$2,0)/AY$1,"")</f>
        <v>4.8220992753058516</v>
      </c>
      <c r="AZ24" s="168">
        <f>IFERROR(VLOOKUP($B24,RD[#All],AZ$2,0)/AZ$1,"")</f>
        <v>5.1103246030943481</v>
      </c>
      <c r="BA24" s="168">
        <f>IFERROR(VLOOKUP($B24,RD[#All],BA$2,0)/BA$1,"")</f>
        <v>4.920643271777065</v>
      </c>
      <c r="BB24" s="168">
        <f>IFERROR(VLOOKUP($B24,RD[#All],BB$2,0)/BB$1,"")</f>
        <v>5.0279019097801196</v>
      </c>
      <c r="BC24" s="168">
        <f>IFERROR(VLOOKUP($B24,RD[#All],BC$2,0)/BC$1,"")</f>
        <v>4.9930138826690547</v>
      </c>
      <c r="BD24" s="168">
        <f>IFERROR(VLOOKUP($B24,RD[#All],BD$2,0)/BD$1,"")</f>
        <v>5.0602077274909574</v>
      </c>
      <c r="BE24" s="168">
        <f>IFERROR(VLOOKUP($B24,RD[#All],BE$2,0)/BE$1,"")</f>
        <v>5.1492319294502913</v>
      </c>
      <c r="BF24" s="168">
        <f>IFERROR(VLOOKUP($B24,RD[#All],BF$2,0)/BF$1,"")</f>
        <v>5.2489376437494126</v>
      </c>
      <c r="BG24" s="168">
        <f>IFERROR(VLOOKUP($B24,RD[#All],BG$2,0)/BG$1,"")</f>
        <v>5.2932041068706681</v>
      </c>
      <c r="BH24" s="168">
        <f>IFERROR(VLOOKUP($B24,RD[#All],BH$2,0)/BH$1,"")</f>
        <v>5.2644445083546634</v>
      </c>
      <c r="BI24" s="168">
        <f>IFERROR(VLOOKUP($B24,RD[#All],BI$2,0)/BI$1,"")</f>
        <v>5.1885083535329839</v>
      </c>
      <c r="BJ24" s="168">
        <f>IFERROR(VLOOKUP($B24,RD[#All],BJ$2,0)/BJ$1,"")</f>
        <v>5.2666199755558294</v>
      </c>
      <c r="BK24" s="168">
        <f>IFERROR(VLOOKUP($B24,RD[#All],BK$2,0)/BK$1,"")</f>
        <v>5.1880024040267445</v>
      </c>
      <c r="BL24" s="168">
        <f>IFERROR(VLOOKUP($B24,RD[#All],BL$2,0)/BL$1,"")</f>
        <v>5.1727730837722126</v>
      </c>
      <c r="BM24" s="168">
        <f>IFERROR(VLOOKUP($B24,RD[#All],BM$2,0)/BM$1,"")</f>
        <v>5.2872170844671045</v>
      </c>
      <c r="BN24" s="168">
        <f>IFERROR(VLOOKUP($B24,RD[#All],BN$2,0)/BN$1,"")</f>
        <v>5.2194372695319018</v>
      </c>
      <c r="BO24" s="168">
        <f>IFERROR(VLOOKUP($B24,RD[#All],BO$2,0)/BO$1,"")</f>
        <v>5.0160240980427213</v>
      </c>
      <c r="BP24" s="168">
        <f>IFERROR(VLOOKUP($B24,RD[#All],BP$2,0)/BP$1,"")</f>
        <v>5.2080413846152993</v>
      </c>
      <c r="BQ24" s="168">
        <f>IFERROR(VLOOKUP($B24,RD[#All],BQ$2,0)/BQ$1,"")</f>
        <v>5.2224371373307541</v>
      </c>
      <c r="BR24" s="168">
        <f>IFERROR(VLOOKUP($B24,RD[#All],BR$2,0)/BR$1,"")</f>
        <v>5.613671672708441</v>
      </c>
      <c r="BS24" s="168">
        <f>IFERROR(VLOOKUP($B24,RD[#All],BS$2,0)/BS$1,"")</f>
        <v>5.1053711654815723</v>
      </c>
      <c r="BT24" s="168">
        <f>IFERROR(VLOOKUP($B24,RD[#All],BT$2,0)/BT$1,"")</f>
        <v>5.462644259971654</v>
      </c>
      <c r="BU24" s="168">
        <f>IFERROR(VLOOKUP($B24,RD[#All],BU$2,0)/BU$1,"")</f>
        <v>5.41399395413994</v>
      </c>
      <c r="BV24" s="168">
        <f>IFERROR(VLOOKUP($B24,RD[#All],BV$2,0)/BV$1,"")</f>
        <v>5.6263157894736846</v>
      </c>
      <c r="BW24" s="168">
        <f>IFERROR(VLOOKUP($B24,RD[#All],BW$2,0)/BW$1,"")</f>
        <v>5.3500522466039708</v>
      </c>
      <c r="BX24" s="168">
        <f>IFERROR(VLOOKUP($B24,RD[#All],BX$2,0)/BX$1,"")</f>
        <v>5.190562613430127</v>
      </c>
      <c r="BY24" s="168">
        <f>AVERAGEIF(Inv_SY_B[[#This Row],[IS1Inv1M1]:[IS4Inv4M2]],"&gt;="&amp;0.1,Inv_SY_B[[#This Row],[IS1Inv1M1]:[IS4Inv4M2]])</f>
        <v>4.8102740628537664</v>
      </c>
      <c r="BZ24" s="168">
        <f>AVERAGEIF(Inv_SY_B[[#This Row],[IS5Inv1M1]:[IS9Inv2M2]],"&gt;="&amp;0.1,Inv_SY_B[[#This Row],[IS5Inv1M1]:[IS9Inv2M2]])</f>
        <v>5.0325345389594709</v>
      </c>
      <c r="CA24" s="168">
        <f>AVERAGEIF(Inv_SY_B[[#This Row],[IS10Inv1M1]:[IS14Inv2M4]],"&gt;="&amp;0.1,Inv_SY_B[[#This Row],[IS10Inv1M1]:[IS14Inv2M4]])</f>
        <v>5.1484250272826468</v>
      </c>
    </row>
    <row r="25" spans="2:79">
      <c r="B25" s="173">
        <f t="shared" si="32"/>
        <v>45858</v>
      </c>
      <c r="C25" s="168">
        <f>IFERROR(VLOOKUP($B25,RD[#All],C$2,0)/C$1,"")</f>
        <v>5.3017437143904207</v>
      </c>
      <c r="D25" s="168">
        <f>IFERROR(VLOOKUP($B25,RD[#All],D$2,0)/D$1,"")</f>
        <v>5.2780640291172425</v>
      </c>
      <c r="E25" s="168">
        <f>IFERROR(VLOOKUP($B25,RD[#All],E$2,0)/E$1,"")</f>
        <v>5.2634242994388849</v>
      </c>
      <c r="F25" s="168">
        <f>IFERROR(VLOOKUP($B25,RD[#All],F$2,0)/F$1,"")</f>
        <v>5.2019138755980858</v>
      </c>
      <c r="G25" s="168">
        <f>IFERROR(VLOOKUP($B25,RD[#All],G$2,0)/G$1,"")</f>
        <v>5.1569699261129518</v>
      </c>
      <c r="H25" s="168">
        <f>IFERROR(VLOOKUP($B25,RD[#All],H$2,0)/H$1,"")</f>
        <v>5.1523411847795106</v>
      </c>
      <c r="I25" s="168">
        <f>IFERROR(VLOOKUP($B25,RD[#All],I$2,0)/I$1,"")</f>
        <v>5.3074001446282333</v>
      </c>
      <c r="J25" s="168">
        <f>IFERROR(VLOOKUP($B25,RD[#All],J$2,0)/J$1,"")</f>
        <v>5.222034752246711</v>
      </c>
      <c r="K25" s="168">
        <f>IFERROR(VLOOKUP($B25,RD[#All],K$2,0)/K$1,"")</f>
        <v>5.1521691118472939</v>
      </c>
      <c r="L25" s="168">
        <f>IFERROR(VLOOKUP($B25,RD[#All],L$2,0)/L$1,"")</f>
        <v>5.3391144396268553</v>
      </c>
      <c r="M25" s="168">
        <f>IFERROR(VLOOKUP($B25,RD[#All],M$2,0)/M$1,"")</f>
        <v>5.4890626026407414</v>
      </c>
      <c r="N25" s="168">
        <f>IFERROR(VLOOKUP($B25,RD[#All],N$2,0)/N$1,"")</f>
        <v>5.2523328051510356</v>
      </c>
      <c r="O25" s="168">
        <f>IFERROR(VLOOKUP($B25,RD[#All],O$2,0)/O$1,"")</f>
        <v>5.4146363443255039</v>
      </c>
      <c r="P25" s="168">
        <f>IFERROR(VLOOKUP($B25,RD[#All],P$2,0)/P$1,"")</f>
        <v>5.2386911209891309</v>
      </c>
      <c r="Q25" s="168">
        <f>IFERROR(VLOOKUP($B25,RD[#All],Q$2,0)/Q$1,"")</f>
        <v>5.303507277508241</v>
      </c>
      <c r="R25" s="168">
        <f>IFERROR(VLOOKUP($B25,RD[#All],R$2,0)/R$1,"")</f>
        <v>5.361338371322085</v>
      </c>
      <c r="S25" s="168">
        <f>IFERROR(VLOOKUP($B25,RD[#All],S$2,0)/S$1,"")</f>
        <v>5.2252985267980936</v>
      </c>
      <c r="T25" s="168">
        <f>IFERROR(VLOOKUP($B25,RD[#All],T$2,0)/T$1,"")</f>
        <v>5.0927759086289894</v>
      </c>
      <c r="U25" s="168">
        <f>IFERROR(VLOOKUP($B25,RD[#All],U$2,0)/U$1,"")</f>
        <v>5.2886884891342163</v>
      </c>
      <c r="V25" s="168">
        <f>IFERROR(VLOOKUP($B25,RD[#All],V$2,0)/V$1,"")</f>
        <v>5.2767962308598353</v>
      </c>
      <c r="W25" s="168">
        <f>IFERROR(VLOOKUP($B25,RD[#All],W$2,0)/W$1,"")</f>
        <v>5.1958422702524327</v>
      </c>
      <c r="X25" s="168">
        <f>IFERROR(VLOOKUP($B25,RD[#All],X$2,0)/X$1,"")</f>
        <v>5.2914706969457548</v>
      </c>
      <c r="Y25" s="168">
        <f>IFERROR(VLOOKUP($B25,RD[#All],Y$2,0)/Y$1,"")</f>
        <v>5.3382941556744559</v>
      </c>
      <c r="Z25" s="168">
        <f>IFERROR(VLOOKUP($B25,RD[#All],Z$2,0)/Z$1,"")</f>
        <v>5.2686762778505898</v>
      </c>
      <c r="AA25" s="168">
        <f>IFERROR(VLOOKUP($B25,RD[#All],AA$2,0)/AA$1,"")</f>
        <v>5.3520894428152488</v>
      </c>
      <c r="AB25" s="168">
        <f>IFERROR(VLOOKUP($B25,RD[#All],AB$2,0)/AB$1,"")</f>
        <v>5.3050747353595922</v>
      </c>
      <c r="AC25" s="168">
        <f>IFERROR(VLOOKUP($B25,RD[#All],AC$2,0)/AC$1,"")</f>
        <v>5.3092261208845111</v>
      </c>
      <c r="AD25" s="168">
        <f>IFERROR(VLOOKUP($B25,RD[#All],AD$2,0)/AD$1,"")</f>
        <v>5.272743706783567</v>
      </c>
      <c r="AE25" s="168">
        <f>IFERROR(VLOOKUP($B25,RD[#All],AE$2,0)/AE$1,"")</f>
        <v>5.2322739756740093</v>
      </c>
      <c r="AF25" s="168">
        <f>IFERROR(VLOOKUP($B25,RD[#All],AF$2,0)/AF$1,"")</f>
        <v>5.129544784717198</v>
      </c>
      <c r="AG25" s="168">
        <f>IFERROR(VLOOKUP($B25,RD[#All],AG$2,0)/AG$1,"")</f>
        <v>5.2220798691563308</v>
      </c>
      <c r="AH25" s="168">
        <f>IFERROR(VLOOKUP($B25,RD[#All],AH$2,0)/AH$1,"")</f>
        <v>5.15856599324795</v>
      </c>
      <c r="AI25" s="168">
        <f>IFERROR(VLOOKUP($B25,RD[#All],AI$2,0)/AI$1,"")</f>
        <v>5.2620417064195175</v>
      </c>
      <c r="AJ25" s="168">
        <f>IFERROR(VLOOKUP($B25,RD[#All],AJ$2,0)/AJ$1,"")</f>
        <v>5.168725797529043</v>
      </c>
      <c r="AK25" s="168">
        <f>IFERROR(VLOOKUP($B25,RD[#All],AK$2,0)/AK$1,"")</f>
        <v>5.2313373359545192</v>
      </c>
      <c r="AL25" s="168">
        <f>IFERROR(VLOOKUP($B25,RD[#All],AL$2,0)/AL$1,"")</f>
        <v>5.2567830504810296</v>
      </c>
      <c r="AM25" s="168">
        <f>IFERROR(VLOOKUP($B25,RD[#All],AM$2,0)/AM$1,"")</f>
        <v>5.3062254740285528</v>
      </c>
      <c r="AN25" s="168">
        <f>IFERROR(VLOOKUP($B25,RD[#All],AN$2,0)/AN$1,"")</f>
        <v>5.3576500838005741</v>
      </c>
      <c r="AO25" s="168">
        <f>IFERROR(VLOOKUP($B25,RD[#All],AO$2,0)/AO$1,"")</f>
        <v>5.3524672370041797</v>
      </c>
      <c r="AP25" s="168">
        <f>IFERROR(VLOOKUP($B25,RD[#All],AP$2,0)/AP$1,"")</f>
        <v>5.2772149939084718</v>
      </c>
      <c r="AQ25" s="168">
        <f>IFERROR(VLOOKUP($B25,RD[#All],AQ$2,0)/AQ$1,"")</f>
        <v>5.3049486707028155</v>
      </c>
      <c r="AR25" s="168">
        <f>IFERROR(VLOOKUP($B25,RD[#All],AR$2,0)/AR$1,"")</f>
        <v>5.302319385937162</v>
      </c>
      <c r="AS25" s="168">
        <f>IFERROR(VLOOKUP($B25,RD[#All],AS$2,0)/AS$1,"")</f>
        <v>5.2415199128264609</v>
      </c>
      <c r="AT25" s="168">
        <f>IFERROR(VLOOKUP($B25,RD[#All],AT$2,0)/AT$1,"")</f>
        <v>5.2799229012591393</v>
      </c>
      <c r="AU25" s="168">
        <f>IFERROR(VLOOKUP($B25,RD[#All],AU$2,0)/AU$1,"")</f>
        <v>5.4291842379458366</v>
      </c>
      <c r="AV25" s="168">
        <f>IFERROR(VLOOKUP($B25,RD[#All],AV$2,0)/AV$1,"")</f>
        <v>5.3589691529697285</v>
      </c>
      <c r="AW25" s="168">
        <f>IFERROR(VLOOKUP($B25,RD[#All],AW$2,0)/AW$1,"")</f>
        <v>4.5099575880508951</v>
      </c>
      <c r="AX25" s="168">
        <f>IFERROR(VLOOKUP($B25,RD[#All],AX$2,0)/AX$1,"")</f>
        <v>4.6630094043887151</v>
      </c>
      <c r="AY25" s="168">
        <f>IFERROR(VLOOKUP($B25,RD[#All],AY$2,0)/AY$1,"")</f>
        <v>5.091041325748721</v>
      </c>
      <c r="AZ25" s="168">
        <f>IFERROR(VLOOKUP($B25,RD[#All],AZ$2,0)/AZ$1,"")</f>
        <v>5.3182323794114676</v>
      </c>
      <c r="BA25" s="168">
        <f>IFERROR(VLOOKUP($B25,RD[#All],BA$2,0)/BA$1,"")</f>
        <v>5.148103330351975</v>
      </c>
      <c r="BB25" s="168">
        <f>IFERROR(VLOOKUP($B25,RD[#All],BB$2,0)/BB$1,"")</f>
        <v>5.2975833166588853</v>
      </c>
      <c r="BC25" s="168">
        <f>IFERROR(VLOOKUP($B25,RD[#All],BC$2,0)/BC$1,"")</f>
        <v>5.2127183161665922</v>
      </c>
      <c r="BD25" s="168">
        <f>IFERROR(VLOOKUP($B25,RD[#All],BD$2,0)/BD$1,"")</f>
        <v>5.298845889614598</v>
      </c>
      <c r="BE25" s="168">
        <f>IFERROR(VLOOKUP($B25,RD[#All],BE$2,0)/BE$1,"")</f>
        <v>5.430506770299008</v>
      </c>
      <c r="BF25" s="168">
        <f>IFERROR(VLOOKUP($B25,RD[#All],BF$2,0)/BF$1,"")</f>
        <v>6.3373718546132345</v>
      </c>
      <c r="BG25" s="168">
        <f>IFERROR(VLOOKUP($B25,RD[#All],BG$2,0)/BG$1,"")</f>
        <v>5.5879899916597164</v>
      </c>
      <c r="BH25" s="168">
        <f>IFERROR(VLOOKUP($B25,RD[#All],BH$2,0)/BH$1,"")</f>
        <v>5.5340657444422083</v>
      </c>
      <c r="BI25" s="168">
        <f>IFERROR(VLOOKUP($B25,RD[#All],BI$2,0)/BI$1,"")</f>
        <v>5.5210206688039198</v>
      </c>
      <c r="BJ25" s="168">
        <f>IFERROR(VLOOKUP($B25,RD[#All],BJ$2,0)/BJ$1,"")</f>
        <v>5.6056798363064582</v>
      </c>
      <c r="BK25" s="168">
        <f>IFERROR(VLOOKUP($B25,RD[#All],BK$2,0)/BK$1,"")</f>
        <v>5.5361480479803671</v>
      </c>
      <c r="BL25" s="168">
        <f>IFERROR(VLOOKUP($B25,RD[#All],BL$2,0)/BL$1,"")</f>
        <v>5.4951439144217531</v>
      </c>
      <c r="BM25" s="168">
        <f>IFERROR(VLOOKUP($B25,RD[#All],BM$2,0)/BM$1,"")</f>
        <v>5.4668125126183869</v>
      </c>
      <c r="BN25" s="168">
        <f>IFERROR(VLOOKUP($B25,RD[#All],BN$2,0)/BN$1,"")</f>
        <v>5.4104273691113782</v>
      </c>
      <c r="BO25" s="168">
        <f>IFERROR(VLOOKUP($B25,RD[#All],BO$2,0)/BO$1,"")</f>
        <v>5.0743435621638717</v>
      </c>
      <c r="BP25" s="168">
        <f>IFERROR(VLOOKUP($B25,RD[#All],BP$2,0)/BP$1,"")</f>
        <v>5.2052664265032922</v>
      </c>
      <c r="BQ25" s="168">
        <f>IFERROR(VLOOKUP($B25,RD[#All],BQ$2,0)/BQ$1,"")</f>
        <v>4.7095311145201091</v>
      </c>
      <c r="BR25" s="168">
        <f>IFERROR(VLOOKUP($B25,RD[#All],BR$2,0)/BR$1,"")</f>
        <v>5.541170378042465</v>
      </c>
      <c r="BS25" s="168">
        <f>IFERROR(VLOOKUP($B25,RD[#All],BS$2,0)/BS$1,"")</f>
        <v>5.2734803910432619</v>
      </c>
      <c r="BT25" s="168">
        <f>IFERROR(VLOOKUP($B25,RD[#All],BT$2,0)/BT$1,"")</f>
        <v>5.6860363096443276</v>
      </c>
      <c r="BU25" s="168">
        <f>IFERROR(VLOOKUP($B25,RD[#All],BU$2,0)/BU$1,"")</f>
        <v>5.5304873553048735</v>
      </c>
      <c r="BV25" s="168">
        <f>IFERROR(VLOOKUP($B25,RD[#All],BV$2,0)/BV$1,"")</f>
        <v>5.8052631578947365</v>
      </c>
      <c r="BW25" s="168">
        <f>IFERROR(VLOOKUP($B25,RD[#All],BW$2,0)/BW$1,"")</f>
        <v>5.4934601664684894</v>
      </c>
      <c r="BX25" s="168">
        <f>IFERROR(VLOOKUP($B25,RD[#All],BX$2,0)/BX$1,"")</f>
        <v>5.4222075565088268</v>
      </c>
      <c r="BY25" s="168">
        <f>AVERAGEIF(Inv_SY_B[[#This Row],[IS1Inv1M1]:[IS4Inv4M2]],"&gt;="&amp;0.1,Inv_SY_B[[#This Row],[IS1Inv1M1]:[IS4Inv4M2]])</f>
        <v>5.273275734346794</v>
      </c>
      <c r="BZ25" s="168">
        <f>AVERAGEIF(Inv_SY_B[[#This Row],[IS5Inv1M1]:[IS9Inv2M2]],"&gt;="&amp;0.1,Inv_SY_B[[#This Row],[IS5Inv1M1]:[IS9Inv2M2]])</f>
        <v>5.2706541424201401</v>
      </c>
      <c r="CA25" s="168">
        <f>AVERAGEIF(Inv_SY_B[[#This Row],[IS10Inv1M1]:[IS14Inv2M4]],"&gt;="&amp;0.1,Inv_SY_B[[#This Row],[IS10Inv1M1]:[IS14Inv2M4]])</f>
        <v>5.3644965956693751</v>
      </c>
    </row>
    <row r="26" spans="2:79">
      <c r="B26" s="173">
        <f t="shared" si="32"/>
        <v>45859</v>
      </c>
      <c r="C26" s="168">
        <f>IFERROR(VLOOKUP($B26,RD[#All],C$2,0)/C$1,"")</f>
        <v>4.5355993998640605</v>
      </c>
      <c r="D26" s="168">
        <f>IFERROR(VLOOKUP($B26,RD[#All],D$2,0)/D$1,"")</f>
        <v>4.5016459887051656</v>
      </c>
      <c r="E26" s="168">
        <f>IFERROR(VLOOKUP($B26,RD[#All],E$2,0)/E$1,"")</f>
        <v>4.552656554388185</v>
      </c>
      <c r="F26" s="168">
        <f>IFERROR(VLOOKUP($B26,RD[#All],F$2,0)/F$1,"")</f>
        <v>4.5598416102953312</v>
      </c>
      <c r="G26" s="168">
        <f>IFERROR(VLOOKUP($B26,RD[#All],G$2,0)/G$1,"")</f>
        <v>4.5285134797403375</v>
      </c>
      <c r="H26" s="168">
        <f>IFERROR(VLOOKUP($B26,RD[#All],H$2,0)/H$1,"")</f>
        <v>4.5036985639411702</v>
      </c>
      <c r="I26" s="168">
        <f>IFERROR(VLOOKUP($B26,RD[#All],I$2,0)/I$1,"")</f>
        <v>4.6192433728346476</v>
      </c>
      <c r="J26" s="168">
        <f>IFERROR(VLOOKUP($B26,RD[#All],J$2,0)/J$1,"")</f>
        <v>4.4377658265668387</v>
      </c>
      <c r="K26" s="168">
        <f>IFERROR(VLOOKUP($B26,RD[#All],K$2,0)/K$1,"")</f>
        <v>4.4323079350055217</v>
      </c>
      <c r="L26" s="168">
        <f>IFERROR(VLOOKUP($B26,RD[#All],L$2,0)/L$1,"")</f>
        <v>4.5907239521744838</v>
      </c>
      <c r="M26" s="168">
        <f>IFERROR(VLOOKUP($B26,RD[#All],M$2,0)/M$1,"")</f>
        <v>4.6462589502726139</v>
      </c>
      <c r="N26" s="168">
        <f>IFERROR(VLOOKUP($B26,RD[#All],N$2,0)/N$1,"")</f>
        <v>4.3837873185945329</v>
      </c>
      <c r="O26" s="168">
        <f>IFERROR(VLOOKUP($B26,RD[#All],O$2,0)/O$1,"")</f>
        <v>4.6209600072093879</v>
      </c>
      <c r="P26" s="168">
        <f>IFERROR(VLOOKUP($B26,RD[#All],P$2,0)/P$1,"")</f>
        <v>4.4127351736331599</v>
      </c>
      <c r="Q26" s="168">
        <f>IFERROR(VLOOKUP($B26,RD[#All],Q$2,0)/Q$1,"")</f>
        <v>4.5554485636334459</v>
      </c>
      <c r="R26" s="168">
        <f>IFERROR(VLOOKUP($B26,RD[#All],R$2,0)/R$1,"")</f>
        <v>4.5706874022387716</v>
      </c>
      <c r="S26" s="168">
        <f>IFERROR(VLOOKUP($B26,RD[#All],S$2,0)/S$1,"")</f>
        <v>4.3441956026673099</v>
      </c>
      <c r="T26" s="168">
        <f>IFERROR(VLOOKUP($B26,RD[#All],T$2,0)/T$1,"")</f>
        <v>4.2244921920864158</v>
      </c>
      <c r="U26" s="168">
        <f>IFERROR(VLOOKUP($B26,RD[#All],U$2,0)/U$1,"")</f>
        <v>4.5012365647010144</v>
      </c>
      <c r="V26" s="168">
        <f>IFERROR(VLOOKUP($B26,RD[#All],V$2,0)/V$1,"")</f>
        <v>4.4759442030064678</v>
      </c>
      <c r="W26" s="168">
        <f>IFERROR(VLOOKUP($B26,RD[#All],W$2,0)/W$1,"")</f>
        <v>4.0755650882692622</v>
      </c>
      <c r="X26" s="168">
        <f>IFERROR(VLOOKUP($B26,RD[#All],X$2,0)/X$1,"")</f>
        <v>4.2509181047198883</v>
      </c>
      <c r="Y26" s="168">
        <f>IFERROR(VLOOKUP($B26,RD[#All],Y$2,0)/Y$1,"")</f>
        <v>4.2689664342140849</v>
      </c>
      <c r="Z26" s="168">
        <f>IFERROR(VLOOKUP($B26,RD[#All],Z$2,0)/Z$1,"")</f>
        <v>4.2993141708109661</v>
      </c>
      <c r="AA26" s="168">
        <f>IFERROR(VLOOKUP($B26,RD[#All],AA$2,0)/AA$1,"")</f>
        <v>4.2127016129032251</v>
      </c>
      <c r="AB26" s="168">
        <f>IFERROR(VLOOKUP($B26,RD[#All],AB$2,0)/AB$1,"")</f>
        <v>4.187451728681113</v>
      </c>
      <c r="AC26" s="168">
        <f>IFERROR(VLOOKUP($B26,RD[#All],AC$2,0)/AC$1,"")</f>
        <v>4.2500309478288383</v>
      </c>
      <c r="AD26" s="168">
        <f>IFERROR(VLOOKUP($B26,RD[#All],AD$2,0)/AD$1,"")</f>
        <v>4.2874768382519086</v>
      </c>
      <c r="AE26" s="168">
        <f>IFERROR(VLOOKUP($B26,RD[#All],AE$2,0)/AE$1,"")</f>
        <v>4.3917381312706691</v>
      </c>
      <c r="AF26" s="168">
        <f>IFERROR(VLOOKUP($B26,RD[#All],AF$2,0)/AF$1,"")</f>
        <v>4.3445060686439998</v>
      </c>
      <c r="AG26" s="168">
        <f>IFERROR(VLOOKUP($B26,RD[#All],AG$2,0)/AG$1,"")</f>
        <v>4.4228976420880466</v>
      </c>
      <c r="AH26" s="168">
        <f>IFERROR(VLOOKUP($B26,RD[#All],AH$2,0)/AH$1,"")</f>
        <v>4.3866888162477897</v>
      </c>
      <c r="AI26" s="168">
        <f>IFERROR(VLOOKUP($B26,RD[#All],AI$2,0)/AI$1,"")</f>
        <v>4.4663486438598881</v>
      </c>
      <c r="AJ26" s="168">
        <f>IFERROR(VLOOKUP($B26,RD[#All],AJ$2,0)/AJ$1,"")</f>
        <v>4.408208424435605</v>
      </c>
      <c r="AK26" s="168">
        <f>IFERROR(VLOOKUP($B26,RD[#All],AK$2,0)/AK$1,"")</f>
        <v>4.4511981297486853</v>
      </c>
      <c r="AL26" s="168">
        <f>IFERROR(VLOOKUP($B26,RD[#All],AL$2,0)/AL$1,"")</f>
        <v>4.4745973408280184</v>
      </c>
      <c r="AM26" s="168">
        <f>IFERROR(VLOOKUP($B26,RD[#All],AM$2,0)/AM$1,"")</f>
        <v>4.4447286409498741</v>
      </c>
      <c r="AN26" s="168">
        <f>IFERROR(VLOOKUP($B26,RD[#All],AN$2,0)/AN$1,"")</f>
        <v>4.470171707041267</v>
      </c>
      <c r="AO26" s="168">
        <f>IFERROR(VLOOKUP($B26,RD[#All],AO$2,0)/AO$1,"")</f>
        <v>4.4760949605228619</v>
      </c>
      <c r="AP26" s="168">
        <f>IFERROR(VLOOKUP($B26,RD[#All],AP$2,0)/AP$1,"")</f>
        <v>4.4017177435096624</v>
      </c>
      <c r="AQ26" s="168">
        <f>IFERROR(VLOOKUP($B26,RD[#All],AQ$2,0)/AQ$1,"")</f>
        <v>4.4279415635693598</v>
      </c>
      <c r="AR26" s="168">
        <f>IFERROR(VLOOKUP($B26,RD[#All],AR$2,0)/AR$1,"")</f>
        <v>4.4186549892605607</v>
      </c>
      <c r="AS26" s="168">
        <f>IFERROR(VLOOKUP($B26,RD[#All],AS$2,0)/AS$1,"")</f>
        <v>4.4061068344522951</v>
      </c>
      <c r="AT26" s="168">
        <f>IFERROR(VLOOKUP($B26,RD[#All],AT$2,0)/AT$1,"")</f>
        <v>4.3732584693385848</v>
      </c>
      <c r="AU26" s="168">
        <f>IFERROR(VLOOKUP($B26,RD[#All],AU$2,0)/AU$1,"")</f>
        <v>4.5331143030454299</v>
      </c>
      <c r="AV26" s="168">
        <f>IFERROR(VLOOKUP($B26,RD[#All],AV$2,0)/AV$1,"")</f>
        <v>4.4630218096483727</v>
      </c>
      <c r="AW26" s="168">
        <f>IFERROR(VLOOKUP($B26,RD[#All],AW$2,0)/AW$1,"")</f>
        <v>3.8544163747003508</v>
      </c>
      <c r="AX26" s="168">
        <f>IFERROR(VLOOKUP($B26,RD[#All],AX$2,0)/AX$1,"")</f>
        <v>3.9664968652037618</v>
      </c>
      <c r="AY26" s="168">
        <f>IFERROR(VLOOKUP($B26,RD[#All],AY$2,0)/AY$1,"")</f>
        <v>4.4177770851190941</v>
      </c>
      <c r="AZ26" s="168">
        <f>IFERROR(VLOOKUP($B26,RD[#All],AZ$2,0)/AZ$1,"")</f>
        <v>4.7021943573667713</v>
      </c>
      <c r="BA26" s="168">
        <f>IFERROR(VLOOKUP($B26,RD[#All],BA$2,0)/BA$1,"")</f>
        <v>4.3674260360218158</v>
      </c>
      <c r="BB26" s="168">
        <f>IFERROR(VLOOKUP($B26,RD[#All],BB$2,0)/BB$1,"")</f>
        <v>4.4619933746859646</v>
      </c>
      <c r="BC26" s="168">
        <f>IFERROR(VLOOKUP($B26,RD[#All],BC$2,0)/BC$1,"")</f>
        <v>4.4810120913569191</v>
      </c>
      <c r="BD26" s="168">
        <f>IFERROR(VLOOKUP($B26,RD[#All],BD$2,0)/BD$1,"")</f>
        <v>4.5497749338860007</v>
      </c>
      <c r="BE26" s="168">
        <f>IFERROR(VLOOKUP($B26,RD[#All],BE$2,0)/BE$1,"")</f>
        <v>4.4957774803481287</v>
      </c>
      <c r="BF26" s="168">
        <f>IFERROR(VLOOKUP($B26,RD[#All],BF$2,0)/BF$1,"")</f>
        <v>4.5325204989868073</v>
      </c>
      <c r="BG26" s="168">
        <f>IFERROR(VLOOKUP($B26,RD[#All],BG$2,0)/BG$1,"")</f>
        <v>4.6113859250524865</v>
      </c>
      <c r="BH26" s="168">
        <f>IFERROR(VLOOKUP($B26,RD[#All],BH$2,0)/BH$1,"")</f>
        <v>4.5668804463489696</v>
      </c>
      <c r="BI26" s="168">
        <f>IFERROR(VLOOKUP($B26,RD[#All],BI$2,0)/BI$1,"")</f>
        <v>4.5414679281674353</v>
      </c>
      <c r="BJ26" s="168">
        <f>IFERROR(VLOOKUP($B26,RD[#All],BJ$2,0)/BJ$1,"")</f>
        <v>4.6211153682418047</v>
      </c>
      <c r="BK26" s="168">
        <f>IFERROR(VLOOKUP($B26,RD[#All],BK$2,0)/BK$1,"")</f>
        <v>4.5307139458593149</v>
      </c>
      <c r="BL26" s="168">
        <f>IFERROR(VLOOKUP($B26,RD[#All],BL$2,0)/BL$1,"")</f>
        <v>4.4962048017782497</v>
      </c>
      <c r="BM26" s="168">
        <f>IFERROR(VLOOKUP($B26,RD[#All],BM$2,0)/BM$1,"")</f>
        <v>4.4910910422260191</v>
      </c>
      <c r="BN26" s="168">
        <f>IFERROR(VLOOKUP($B26,RD[#All],BN$2,0)/BN$1,"")</f>
        <v>4.4687081130523323</v>
      </c>
      <c r="BO26" s="168">
        <f>IFERROR(VLOOKUP($B26,RD[#All],BO$2,0)/BO$1,"")</f>
        <v>4.3767107272052046</v>
      </c>
      <c r="BP26" s="168">
        <f>IFERROR(VLOOKUP($B26,RD[#All],BP$2,0)/BP$1,"")</f>
        <v>4.4660175854645479</v>
      </c>
      <c r="BQ26" s="168">
        <f>IFERROR(VLOOKUP($B26,RD[#All],BQ$2,0)/BQ$1,"")</f>
        <v>4.2564530114053225</v>
      </c>
      <c r="BR26" s="168">
        <f>IFERROR(VLOOKUP($B26,RD[#All],BR$2,0)/BR$1,"")</f>
        <v>4.5877783531848779</v>
      </c>
      <c r="BS26" s="168">
        <f>IFERROR(VLOOKUP($B26,RD[#All],BS$2,0)/BS$1,"")</f>
        <v>4.2134835714880694</v>
      </c>
      <c r="BT26" s="168">
        <f>IFERROR(VLOOKUP($B26,RD[#All],BT$2,0)/BT$1,"")</f>
        <v>4.4646689613282042</v>
      </c>
      <c r="BU26" s="168">
        <f>IFERROR(VLOOKUP($B26,RD[#All],BU$2,0)/BU$1,"")</f>
        <v>4.3323011133230107</v>
      </c>
      <c r="BV26" s="168">
        <f>IFERROR(VLOOKUP($B26,RD[#All],BV$2,0)/BV$1,"")</f>
        <v>4.4110526315789471</v>
      </c>
      <c r="BW26" s="168">
        <f>IFERROR(VLOOKUP($B26,RD[#All],BW$2,0)/BW$1,"")</f>
        <v>4.3950563903001472</v>
      </c>
      <c r="BX26" s="168">
        <f>IFERROR(VLOOKUP($B26,RD[#All],BX$2,0)/BX$1,"")</f>
        <v>4.3806632568883019</v>
      </c>
      <c r="BY26" s="168">
        <f>AVERAGEIF(Inv_SY_B[[#This Row],[IS1Inv1M1]:[IS4Inv4M2]],"&gt;="&amp;0.1,Inv_SY_B[[#This Row],[IS1Inv1M1]:[IS4Inv4M2]])</f>
        <v>4.4225059852585051</v>
      </c>
      <c r="BZ26" s="168">
        <f>AVERAGEIF(Inv_SY_B[[#This Row],[IS5Inv1M1]:[IS9Inv2M2]],"&gt;="&amp;0.1,Inv_SY_B[[#This Row],[IS5Inv1M1]:[IS9Inv2M2]])</f>
        <v>4.4311663454700536</v>
      </c>
      <c r="CA26" s="168">
        <f>AVERAGEIF(Inv_SY_B[[#This Row],[IS10Inv1M1]:[IS14Inv2M4]],"&gt;="&amp;0.1,Inv_SY_B[[#This Row],[IS10Inv1M1]:[IS14Inv2M4]])</f>
        <v>4.430040795377459</v>
      </c>
    </row>
    <row r="27" spans="2:79">
      <c r="B27" s="173">
        <f t="shared" si="32"/>
        <v>45860</v>
      </c>
      <c r="C27" s="168">
        <f>IFERROR(VLOOKUP($B27,RD[#All],C$2,0)/C$1,"")</f>
        <v>3.6032587757352132</v>
      </c>
      <c r="D27" s="168">
        <f>IFERROR(VLOOKUP($B27,RD[#All],D$2,0)/D$1,"")</f>
        <v>3.6060151412167474</v>
      </c>
      <c r="E27" s="168">
        <f>IFERROR(VLOOKUP($B27,RD[#All],E$2,0)/E$1,"")</f>
        <v>3.5886045388701113</v>
      </c>
      <c r="F27" s="168">
        <f>IFERROR(VLOOKUP($B27,RD[#All],F$2,0)/F$1,"")</f>
        <v>3.5234449760765547</v>
      </c>
      <c r="G27" s="168">
        <f>IFERROR(VLOOKUP($B27,RD[#All],G$2,0)/G$1,"")</f>
        <v>3.5326724298137124</v>
      </c>
      <c r="H27" s="168">
        <f>IFERROR(VLOOKUP($B27,RD[#All],H$2,0)/H$1,"")</f>
        <v>3.5226808083561525</v>
      </c>
      <c r="I27" s="168">
        <f>IFERROR(VLOOKUP($B27,RD[#All],I$2,0)/I$1,"")</f>
        <v>3.5938161657882564</v>
      </c>
      <c r="J27" s="168">
        <f>IFERROR(VLOOKUP($B27,RD[#All],J$2,0)/J$1,"")</f>
        <v>3.5700141774168981</v>
      </c>
      <c r="K27" s="168">
        <f>IFERROR(VLOOKUP($B27,RD[#All],K$2,0)/K$1,"")</f>
        <v>3.4901404006941159</v>
      </c>
      <c r="L27" s="168">
        <f>IFERROR(VLOOKUP($B27,RD[#All],L$2,0)/L$1,"")</f>
        <v>3.5798843778741296</v>
      </c>
      <c r="M27" s="168">
        <f>IFERROR(VLOOKUP($B27,RD[#All],M$2,0)/M$1,"")</f>
        <v>3.6908625106746373</v>
      </c>
      <c r="N27" s="168">
        <f>IFERROR(VLOOKUP($B27,RD[#All],N$2,0)/N$1,"")</f>
        <v>3.5271888125958903</v>
      </c>
      <c r="O27" s="168">
        <f>IFERROR(VLOOKUP($B27,RD[#All],O$2,0)/O$1,"")</f>
        <v>3.6884385882474109</v>
      </c>
      <c r="P27" s="168">
        <f>IFERROR(VLOOKUP($B27,RD[#All],P$2,0)/P$1,"")</f>
        <v>3.6365221072553635</v>
      </c>
      <c r="Q27" s="168">
        <f>IFERROR(VLOOKUP($B27,RD[#All],Q$2,0)/Q$1,"")</f>
        <v>3.6075824352184487</v>
      </c>
      <c r="R27" s="168">
        <f>IFERROR(VLOOKUP($B27,RD[#All],R$2,0)/R$1,"")</f>
        <v>3.6072686076226397</v>
      </c>
      <c r="S27" s="168">
        <f>IFERROR(VLOOKUP($B27,RD[#All],S$2,0)/S$1,"")</f>
        <v>3.4641836025036712</v>
      </c>
      <c r="T27" s="168">
        <f>IFERROR(VLOOKUP($B27,RD[#All],T$2,0)/T$1,"")</f>
        <v>1.1710453332685542</v>
      </c>
      <c r="U27" s="168">
        <f>IFERROR(VLOOKUP($B27,RD[#All],U$2,0)/U$1,"")</f>
        <v>3.5770572581176001</v>
      </c>
      <c r="V27" s="168">
        <f>IFERROR(VLOOKUP($B27,RD[#All],V$2,0)/V$1,"")</f>
        <v>3.5765764546074039</v>
      </c>
      <c r="W27" s="168">
        <f>IFERROR(VLOOKUP($B27,RD[#All],W$2,0)/W$1,"")</f>
        <v>3.5792773469724466</v>
      </c>
      <c r="X27" s="168">
        <f>IFERROR(VLOOKUP($B27,RD[#All],X$2,0)/X$1,"")</f>
        <v>3.8380337808281419</v>
      </c>
      <c r="Y27" s="168">
        <f>IFERROR(VLOOKUP($B27,RD[#All],Y$2,0)/Y$1,"")</f>
        <v>3.793837026440908</v>
      </c>
      <c r="Z27" s="168">
        <f>IFERROR(VLOOKUP($B27,RD[#All],Z$2,0)/Z$1,"")</f>
        <v>3.8393867035314817</v>
      </c>
      <c r="AA27" s="168">
        <f>IFERROR(VLOOKUP($B27,RD[#All],AA$2,0)/AA$1,"")</f>
        <v>3.7432184750733137</v>
      </c>
      <c r="AB27" s="168">
        <f>IFERROR(VLOOKUP($B27,RD[#All],AB$2,0)/AB$1,"")</f>
        <v>3.6622597792013076</v>
      </c>
      <c r="AC27" s="168">
        <f>IFERROR(VLOOKUP($B27,RD[#All],AC$2,0)/AC$1,"")</f>
        <v>3.7459252025363461</v>
      </c>
      <c r="AD27" s="168">
        <f>IFERROR(VLOOKUP($B27,RD[#All],AD$2,0)/AD$1,"")</f>
        <v>3.7710037510733492</v>
      </c>
      <c r="AE27" s="168">
        <f>IFERROR(VLOOKUP($B27,RD[#All],AE$2,0)/AE$1,"")</f>
        <v>3.5667283224034527</v>
      </c>
      <c r="AF27" s="168">
        <f>IFERROR(VLOOKUP($B27,RD[#All],AF$2,0)/AF$1,"")</f>
        <v>3.5134367548160652</v>
      </c>
      <c r="AG27" s="168">
        <f>IFERROR(VLOOKUP($B27,RD[#All],AG$2,0)/AG$1,"")</f>
        <v>3.5645631729589753</v>
      </c>
      <c r="AH27" s="168">
        <f>IFERROR(VLOOKUP($B27,RD[#All],AH$2,0)/AH$1,"")</f>
        <v>3.5180322597931517</v>
      </c>
      <c r="AI27" s="168">
        <f>IFERROR(VLOOKUP($B27,RD[#All],AI$2,0)/AI$1,"")</f>
        <v>3.5716505383671802</v>
      </c>
      <c r="AJ27" s="168">
        <f>IFERROR(VLOOKUP($B27,RD[#All],AJ$2,0)/AJ$1,"")</f>
        <v>3.5093912173019679</v>
      </c>
      <c r="AK27" s="168">
        <f>IFERROR(VLOOKUP($B27,RD[#All],AK$2,0)/AK$1,"")</f>
        <v>3.539875670793263</v>
      </c>
      <c r="AL27" s="168">
        <f>IFERROR(VLOOKUP($B27,RD[#All],AL$2,0)/AL$1,"")</f>
        <v>3.5545886931142578</v>
      </c>
      <c r="AM27" s="168">
        <f>IFERROR(VLOOKUP($B27,RD[#All],AM$2,0)/AM$1,"")</f>
        <v>3.5155855607234443</v>
      </c>
      <c r="AN27" s="168">
        <f>IFERROR(VLOOKUP($B27,RD[#All],AN$2,0)/AN$1,"")</f>
        <v>3.5530770628739892</v>
      </c>
      <c r="AO27" s="168">
        <f>IFERROR(VLOOKUP($B27,RD[#All],AO$2,0)/AO$1,"")</f>
        <v>3.5730007336757152</v>
      </c>
      <c r="AP27" s="168">
        <f>IFERROR(VLOOKUP($B27,RD[#All],AP$2,0)/AP$1,"")</f>
        <v>3.5371919739915323</v>
      </c>
      <c r="AQ27" s="168">
        <f>IFERROR(VLOOKUP($B27,RD[#All],AQ$2,0)/AQ$1,"")</f>
        <v>3.534680178994472</v>
      </c>
      <c r="AR27" s="168">
        <f>IFERROR(VLOOKUP($B27,RD[#All],AR$2,0)/AR$1,"")</f>
        <v>3.5248672139063255</v>
      </c>
      <c r="AS27" s="168">
        <f>IFERROR(VLOOKUP($B27,RD[#All],AS$2,0)/AS$1,"")</f>
        <v>3.4423705578403454</v>
      </c>
      <c r="AT27" s="168">
        <f>IFERROR(VLOOKUP($B27,RD[#All],AT$2,0)/AT$1,"")</f>
        <v>3.373069912635394</v>
      </c>
      <c r="AU27" s="168">
        <f>IFERROR(VLOOKUP($B27,RD[#All],AU$2,0)/AU$1,"")</f>
        <v>3.4684761819073628</v>
      </c>
      <c r="AV27" s="168">
        <f>IFERROR(VLOOKUP($B27,RD[#All],AV$2,0)/AV$1,"")</f>
        <v>3.4410044053695454</v>
      </c>
      <c r="AW27" s="168">
        <f>IFERROR(VLOOKUP($B27,RD[#All],AW$2,0)/AW$1,"")</f>
        <v>3.1987829614604464</v>
      </c>
      <c r="AX27" s="168">
        <f>IFERROR(VLOOKUP($B27,RD[#All],AX$2,0)/AX$1,"")</f>
        <v>3.2711598746081503</v>
      </c>
      <c r="AY27" s="168">
        <f>IFERROR(VLOOKUP($B27,RD[#All],AY$2,0)/AY$1,"")</f>
        <v>3.4395698589573755</v>
      </c>
      <c r="AZ27" s="168">
        <f>IFERROR(VLOOKUP($B27,RD[#All],AZ$2,0)/AZ$1,"")</f>
        <v>3.6850541005157247</v>
      </c>
      <c r="BA27" s="168">
        <f>IFERROR(VLOOKUP($B27,RD[#All],BA$2,0)/BA$1,"")</f>
        <v>3.4769646270672205</v>
      </c>
      <c r="BB27" s="168">
        <f>IFERROR(VLOOKUP($B27,RD[#All],BB$2,0)/BB$1,"")</f>
        <v>3.5846061495364507</v>
      </c>
      <c r="BC27" s="168">
        <f>IFERROR(VLOOKUP($B27,RD[#All],BC$2,0)/BC$1,"")</f>
        <v>3.5679802955665028</v>
      </c>
      <c r="BD27" s="168">
        <f>IFERROR(VLOOKUP($B27,RD[#All],BD$2,0)/BD$1,"")</f>
        <v>3.6046829313148265</v>
      </c>
      <c r="BE27" s="168">
        <f>IFERROR(VLOOKUP($B27,RD[#All],BE$2,0)/BE$1,"")</f>
        <v>3.642916833687758</v>
      </c>
      <c r="BF27" s="168">
        <f>IFERROR(VLOOKUP($B27,RD[#All],BF$2,0)/BF$1,"")</f>
        <v>3.6857990543533097</v>
      </c>
      <c r="BG27" s="168">
        <f>IFERROR(VLOOKUP($B27,RD[#All],BG$2,0)/BG$1,"")</f>
        <v>3.7167467142158697</v>
      </c>
      <c r="BH27" s="168">
        <f>IFERROR(VLOOKUP($B27,RD[#All],BH$2,0)/BH$1,"")</f>
        <v>3.6935233384141961</v>
      </c>
      <c r="BI27" s="168">
        <f>IFERROR(VLOOKUP($B27,RD[#All],BI$2,0)/BI$1,"")</f>
        <v>3.6427789506607238</v>
      </c>
      <c r="BJ27" s="168">
        <f>IFERROR(VLOOKUP($B27,RD[#All],BJ$2,0)/BJ$1,"")</f>
        <v>3.6875678051058101</v>
      </c>
      <c r="BK27" s="168">
        <f>IFERROR(VLOOKUP($B27,RD[#All],BK$2,0)/BK$1,"")</f>
        <v>3.6388450654846869</v>
      </c>
      <c r="BL27" s="168">
        <f>IFERROR(VLOOKUP($B27,RD[#All],BL$2,0)/BL$1,"")</f>
        <v>3.6410538147741192</v>
      </c>
      <c r="BM27" s="168">
        <f>IFERROR(VLOOKUP($B27,RD[#All],BM$2,0)/BM$1,"")</f>
        <v>3.0240133551499588</v>
      </c>
      <c r="BN27" s="168">
        <f>IFERROR(VLOOKUP($B27,RD[#All],BN$2,0)/BN$1,"")</f>
        <v>3.0076913784077641</v>
      </c>
      <c r="BO27" s="168">
        <f>IFERROR(VLOOKUP($B27,RD[#All],BO$2,0)/BO$1,"")</f>
        <v>2.9868918751633355</v>
      </c>
      <c r="BP27" s="168">
        <f>IFERROR(VLOOKUP($B27,RD[#All],BP$2,0)/BP$1,"")</f>
        <v>2.9947347944782776</v>
      </c>
      <c r="BQ27" s="168">
        <f>IFERROR(VLOOKUP($B27,RD[#All],BQ$2,0)/BQ$1,"")</f>
        <v>3.5571933568998868</v>
      </c>
      <c r="BR27" s="168">
        <f>IFERROR(VLOOKUP($B27,RD[#All],BR$2,0)/BR$1,"")</f>
        <v>3.7873788562550859</v>
      </c>
      <c r="BS27" s="168">
        <f>IFERROR(VLOOKUP($B27,RD[#All],BS$2,0)/BS$1,"")</f>
        <v>3.5765616362631292</v>
      </c>
      <c r="BT27" s="168">
        <f>IFERROR(VLOOKUP($B27,RD[#All],BT$2,0)/BT$1,"")</f>
        <v>3.6568131200647906</v>
      </c>
      <c r="BU27" s="168">
        <f>IFERROR(VLOOKUP($B27,RD[#All],BU$2,0)/BU$1,"")</f>
        <v>3.5820983558209836</v>
      </c>
      <c r="BV27" s="168">
        <f>IFERROR(VLOOKUP($B27,RD[#All],BV$2,0)/BV$1,"")</f>
        <v>3.5905263157894738</v>
      </c>
      <c r="BW27" s="168">
        <f>IFERROR(VLOOKUP($B27,RD[#All],BW$2,0)/BW$1,"")</f>
        <v>3.5053507728894169</v>
      </c>
      <c r="BX27" s="168">
        <f>IFERROR(VLOOKUP($B27,RD[#All],BX$2,0)/BX$1,"")</f>
        <v>3.5107078039927408</v>
      </c>
      <c r="BY27" s="168">
        <f>AVERAGEIF(Inv_SY_B[[#This Row],[IS1Inv1M1]:[IS4Inv4M2]],"&gt;="&amp;0.1,Inv_SY_B[[#This Row],[IS1Inv1M1]:[IS4Inv4M2]])</f>
        <v>3.5403642702718146</v>
      </c>
      <c r="BZ27" s="168">
        <f>AVERAGEIF(Inv_SY_B[[#This Row],[IS5Inv1M1]:[IS9Inv2M2]],"&gt;="&amp;0.1,Inv_SY_B[[#This Row],[IS5Inv1M1]:[IS9Inv2M2]])</f>
        <v>3.5167550228592472</v>
      </c>
      <c r="CA27" s="168">
        <f>AVERAGEIF(Inv_SY_B[[#This Row],[IS10Inv1M1]:[IS14Inv2M4]],"&gt;="&amp;0.1,Inv_SY_B[[#This Row],[IS10Inv1M1]:[IS14Inv2M4]])</f>
        <v>3.4984997856035007</v>
      </c>
    </row>
    <row r="28" spans="2:79">
      <c r="B28" s="173">
        <f t="shared" si="32"/>
        <v>45861</v>
      </c>
      <c r="C28" s="168">
        <f>IFERROR(VLOOKUP($B28,RD[#All],C$2,0)/C$1,"")</f>
        <v>2.6283197759826602</v>
      </c>
      <c r="D28" s="168">
        <f>IFERROR(VLOOKUP($B28,RD[#All],D$2,0)/D$1,"")</f>
        <v>2.6257513445112304</v>
      </c>
      <c r="E28" s="168">
        <f>IFERROR(VLOOKUP($B28,RD[#All],E$2,0)/E$1,"")</f>
        <v>2.6112988894253988</v>
      </c>
      <c r="F28" s="168">
        <f>IFERROR(VLOOKUP($B28,RD[#All],F$2,0)/F$1,"")</f>
        <v>2.6005609635373701</v>
      </c>
      <c r="G28" s="168">
        <f>IFERROR(VLOOKUP($B28,RD[#All],G$2,0)/G$1,"")</f>
        <v>2.6029003710373027</v>
      </c>
      <c r="H28" s="168">
        <f>IFERROR(VLOOKUP($B28,RD[#All],H$2,0)/H$1,"")</f>
        <v>2.5857112765931083</v>
      </c>
      <c r="I28" s="168">
        <f>IFERROR(VLOOKUP($B28,RD[#All],I$2,0)/I$1,"")</f>
        <v>2.6220707896571271</v>
      </c>
      <c r="J28" s="168">
        <f>IFERROR(VLOOKUP($B28,RD[#All],J$2,0)/J$1,"")</f>
        <v>2.6348319214500804</v>
      </c>
      <c r="K28" s="168">
        <f>IFERROR(VLOOKUP($B28,RD[#All],K$2,0)/K$1,"")</f>
        <v>2.5872219592995744</v>
      </c>
      <c r="L28" s="168">
        <f>IFERROR(VLOOKUP($B28,RD[#All],L$2,0)/L$1,"")</f>
        <v>2.6680462488503482</v>
      </c>
      <c r="M28" s="168">
        <f>IFERROR(VLOOKUP($B28,RD[#All],M$2,0)/M$1,"")</f>
        <v>2.7498521973329835</v>
      </c>
      <c r="N28" s="168">
        <f>IFERROR(VLOOKUP($B28,RD[#All],N$2,0)/N$1,"")</f>
        <v>2.629530420785231</v>
      </c>
      <c r="O28" s="168">
        <f>IFERROR(VLOOKUP($B28,RD[#All],O$2,0)/O$1,"")</f>
        <v>2.7038422174016596</v>
      </c>
      <c r="P28" s="168">
        <f>IFERROR(VLOOKUP($B28,RD[#All],P$2,0)/P$1,"")</f>
        <v>2.6585359779861295</v>
      </c>
      <c r="Q28" s="168">
        <f>IFERROR(VLOOKUP($B28,RD[#All],Q$2,0)/Q$1,"")</f>
        <v>2.6544078614372308</v>
      </c>
      <c r="R28" s="168">
        <f>IFERROR(VLOOKUP($B28,RD[#All],R$2,0)/R$1,"")</f>
        <v>2.6394726847888355</v>
      </c>
      <c r="S28" s="168">
        <f>IFERROR(VLOOKUP($B28,RD[#All],S$2,0)/S$1,"")</f>
        <v>2.649536130038137</v>
      </c>
      <c r="T28" s="168">
        <f>IFERROR(VLOOKUP($B28,RD[#All],T$2,0)/T$1,"")</f>
        <v>2.401201653488156</v>
      </c>
      <c r="U28" s="168">
        <f>IFERROR(VLOOKUP($B28,RD[#All],U$2,0)/U$1,"")</f>
        <v>2.641734763924283</v>
      </c>
      <c r="V28" s="168">
        <f>IFERROR(VLOOKUP($B28,RD[#All],V$2,0)/V$1,"")</f>
        <v>2.6580741823826997</v>
      </c>
      <c r="W28" s="168">
        <f>IFERROR(VLOOKUP($B28,RD[#All],W$2,0)/W$1,"")</f>
        <v>2.6676703514271569</v>
      </c>
      <c r="X28" s="168">
        <f>IFERROR(VLOOKUP($B28,RD[#All],X$2,0)/X$1,"")</f>
        <v>2.6892414742574626</v>
      </c>
      <c r="Y28" s="168">
        <f>IFERROR(VLOOKUP($B28,RD[#All],Y$2,0)/Y$1,"")</f>
        <v>2.7284522876176589</v>
      </c>
      <c r="Z28" s="168">
        <f>IFERROR(VLOOKUP($B28,RD[#All],Z$2,0)/Z$1,"")</f>
        <v>2.7234330957467816</v>
      </c>
      <c r="AA28" s="168">
        <f>IFERROR(VLOOKUP($B28,RD[#All],AA$2,0)/AA$1,"")</f>
        <v>2.7326796187683282</v>
      </c>
      <c r="AB28" s="168">
        <f>IFERROR(VLOOKUP($B28,RD[#All],AB$2,0)/AB$1,"")</f>
        <v>2.6931988551178954</v>
      </c>
      <c r="AC28" s="168">
        <f>IFERROR(VLOOKUP($B28,RD[#All],AC$2,0)/AC$1,"")</f>
        <v>2.7188240742014314</v>
      </c>
      <c r="AD28" s="168">
        <f>IFERROR(VLOOKUP($B28,RD[#All],AD$2,0)/AD$1,"")</f>
        <v>2.6891128485560625</v>
      </c>
      <c r="AE28" s="168">
        <f>IFERROR(VLOOKUP($B28,RD[#All],AE$2,0)/AE$1,"")</f>
        <v>2.6944677988901966</v>
      </c>
      <c r="AF28" s="168">
        <f>IFERROR(VLOOKUP($B28,RD[#All],AF$2,0)/AF$1,"")</f>
        <v>2.6588430726361763</v>
      </c>
      <c r="AG28" s="168">
        <f>IFERROR(VLOOKUP($B28,RD[#All],AG$2,0)/AG$1,"")</f>
        <v>2.6964154286493116</v>
      </c>
      <c r="AH28" s="168">
        <f>IFERROR(VLOOKUP($B28,RD[#All],AH$2,0)/AH$1,"")</f>
        <v>2.6672739938910026</v>
      </c>
      <c r="AI28" s="168">
        <f>IFERROR(VLOOKUP($B28,RD[#All],AI$2,0)/AI$1,"")</f>
        <v>2.7078097314978877</v>
      </c>
      <c r="AJ28" s="168">
        <f>IFERROR(VLOOKUP($B28,RD[#All],AJ$2,0)/AJ$1,"")</f>
        <v>2.6666842285503543</v>
      </c>
      <c r="AK28" s="168">
        <f>IFERROR(VLOOKUP($B28,RD[#All],AK$2,0)/AK$1,"")</f>
        <v>2.6923117793953564</v>
      </c>
      <c r="AL28" s="168">
        <f>IFERROR(VLOOKUP($B28,RD[#All],AL$2,0)/AL$1,"")</f>
        <v>2.7070586963571506</v>
      </c>
      <c r="AM28" s="168">
        <f>IFERROR(VLOOKUP($B28,RD[#All],AM$2,0)/AM$1,"")</f>
        <v>2.6781855997630699</v>
      </c>
      <c r="AN28" s="168">
        <f>IFERROR(VLOOKUP($B28,RD[#All],AN$2,0)/AN$1,"")</f>
        <v>2.688080125465278</v>
      </c>
      <c r="AO28" s="168">
        <f>IFERROR(VLOOKUP($B28,RD[#All],AO$2,0)/AO$1,"")</f>
        <v>2.7167540570920861</v>
      </c>
      <c r="AP28" s="168">
        <f>IFERROR(VLOOKUP($B28,RD[#All],AP$2,0)/AP$1,"")</f>
        <v>2.6841761629433183</v>
      </c>
      <c r="AQ28" s="168">
        <f>IFERROR(VLOOKUP($B28,RD[#All],AQ$2,0)/AQ$1,"")</f>
        <v>2.683008686496446</v>
      </c>
      <c r="AR28" s="168">
        <f>IFERROR(VLOOKUP($B28,RD[#All],AR$2,0)/AR$1,"")</f>
        <v>2.6667776686258513</v>
      </c>
      <c r="AS28" s="168">
        <f>IFERROR(VLOOKUP($B28,RD[#All],AS$2,0)/AS$1,"")</f>
        <v>2.6756183579973514</v>
      </c>
      <c r="AT28" s="168">
        <f>IFERROR(VLOOKUP($B28,RD[#All],AT$2,0)/AT$1,"")</f>
        <v>2.7119901112484546</v>
      </c>
      <c r="AU28" s="168">
        <f>IFERROR(VLOOKUP($B28,RD[#All],AU$2,0)/AU$1,"")</f>
        <v>2.6989484804773776</v>
      </c>
      <c r="AV28" s="168">
        <f>IFERROR(VLOOKUP($B28,RD[#All],AV$2,0)/AV$1,"")</f>
        <v>2.6775486691817716</v>
      </c>
      <c r="AW28" s="168">
        <f>IFERROR(VLOOKUP($B28,RD[#All],AW$2,0)/AW$1,"")</f>
        <v>2.7346948183662185</v>
      </c>
      <c r="AX28" s="168">
        <f>IFERROR(VLOOKUP($B28,RD[#All],AX$2,0)/AX$1,"")</f>
        <v>2.7743436520376177</v>
      </c>
      <c r="AY28" s="168">
        <f>IFERROR(VLOOKUP($B28,RD[#All],AY$2,0)/AY$1,"")</f>
        <v>2.6419907010571704</v>
      </c>
      <c r="AZ28" s="168">
        <f>IFERROR(VLOOKUP($B28,RD[#All],AZ$2,0)/AZ$1,"")</f>
        <v>2.8182829406411165</v>
      </c>
      <c r="BA28" s="168">
        <f>IFERROR(VLOOKUP($B28,RD[#All],BA$2,0)/BA$1,"")</f>
        <v>2.6162291085740339</v>
      </c>
      <c r="BB28" s="168">
        <f>IFERROR(VLOOKUP($B28,RD[#All],BB$2,0)/BB$1,"")</f>
        <v>2.6913448498188046</v>
      </c>
      <c r="BC28" s="168">
        <f>IFERROR(VLOOKUP($B28,RD[#All],BC$2,0)/BC$1,"")</f>
        <v>2.7043887147335424</v>
      </c>
      <c r="BD28" s="168">
        <f>IFERROR(VLOOKUP($B28,RD[#All],BD$2,0)/BD$1,"")</f>
        <v>2.7477429286092585</v>
      </c>
      <c r="BE28" s="168">
        <f>IFERROR(VLOOKUP($B28,RD[#All],BE$2,0)/BE$1,"")</f>
        <v>2.6978605447491968</v>
      </c>
      <c r="BF28" s="168">
        <f>IFERROR(VLOOKUP($B28,RD[#All],BF$2,0)/BF$1,"")</f>
        <v>2.6850893918277658</v>
      </c>
      <c r="BG28" s="168">
        <f>IFERROR(VLOOKUP($B28,RD[#All],BG$2,0)/BG$1,"")</f>
        <v>2.7100169681631243</v>
      </c>
      <c r="BH28" s="168">
        <f>IFERROR(VLOOKUP($B28,RD[#All],BH$2,0)/BH$1,"")</f>
        <v>2.7246124644099972</v>
      </c>
      <c r="BI28" s="168">
        <f>IFERROR(VLOOKUP($B28,RD[#All],BI$2,0)/BI$1,"")</f>
        <v>2.7561446034352439</v>
      </c>
      <c r="BJ28" s="168">
        <f>IFERROR(VLOOKUP($B28,RD[#All],BJ$2,0)/BJ$1,"")</f>
        <v>2.7814169378870899</v>
      </c>
      <c r="BK28" s="168">
        <f>IFERROR(VLOOKUP($B28,RD[#All],BK$2,0)/BK$1,"")</f>
        <v>2.7941802519219694</v>
      </c>
      <c r="BL28" s="168">
        <f>IFERROR(VLOOKUP($B28,RD[#All],BL$2,0)/BL$1,"")</f>
        <v>2.7587491632882455</v>
      </c>
      <c r="BM28" s="168">
        <f>IFERROR(VLOOKUP($B28,RD[#All],BM$2,0)/BM$1,"")</f>
        <v>2.7810171248459423</v>
      </c>
      <c r="BN28" s="168">
        <f>IFERROR(VLOOKUP($B28,RD[#All],BN$2,0)/BN$1,"")</f>
        <v>2.7599219932002925</v>
      </c>
      <c r="BO28" s="168">
        <f>IFERROR(VLOOKUP($B28,RD[#All],BO$2,0)/BO$1,"")</f>
        <v>2.7217033684992362</v>
      </c>
      <c r="BP28" s="168">
        <f>IFERROR(VLOOKUP($B28,RD[#All],BP$2,0)/BP$1,"")</f>
        <v>2.7527029479490004</v>
      </c>
      <c r="BQ28" s="168">
        <f>IFERROR(VLOOKUP($B28,RD[#All],BQ$2,0)/BQ$1,"")</f>
        <v>2.8447942373107451</v>
      </c>
      <c r="BR28" s="168">
        <f>IFERROR(VLOOKUP($B28,RD[#All],BR$2,0)/BR$1,"")</f>
        <v>3.0071021676407486</v>
      </c>
      <c r="BS28" s="168">
        <f>IFERROR(VLOOKUP($B28,RD[#All],BS$2,0)/BS$1,"")</f>
        <v>2.8252194128293087</v>
      </c>
      <c r="BT28" s="168">
        <f>IFERROR(VLOOKUP($B28,RD[#All],BT$2,0)/BT$1,"")</f>
        <v>2.9378416683539177</v>
      </c>
      <c r="BU28" s="168">
        <f>IFERROR(VLOOKUP($B28,RD[#All],BU$2,0)/BU$1,"")</f>
        <v>2.7131902971319031</v>
      </c>
      <c r="BV28" s="168">
        <f>IFERROR(VLOOKUP($B28,RD[#All],BV$2,0)/BV$1,"")</f>
        <v>2.6889473684210525</v>
      </c>
      <c r="BW28" s="168">
        <f>IFERROR(VLOOKUP($B28,RD[#All],BW$2,0)/BW$1,"")</f>
        <v>2.7624400965661371</v>
      </c>
      <c r="BX28" s="168">
        <f>IFERROR(VLOOKUP($B28,RD[#All],BX$2,0)/BX$1,"")</f>
        <v>2.7157234779739317</v>
      </c>
      <c r="BY28" s="168">
        <f>AVERAGEIF(Inv_SY_B[[#This Row],[IS1Inv1M1]:[IS4Inv4M2]],"&gt;="&amp;0.1,Inv_SY_B[[#This Row],[IS1Inv1M1]:[IS4Inv4M2]])</f>
        <v>2.6498397941286549</v>
      </c>
      <c r="BZ28" s="168">
        <f>AVERAGEIF(Inv_SY_B[[#This Row],[IS5Inv1M1]:[IS9Inv2M2]],"&gt;="&amp;0.1,Inv_SY_B[[#This Row],[IS5Inv1M1]:[IS9Inv2M2]])</f>
        <v>2.6873307027310243</v>
      </c>
      <c r="CA28" s="168">
        <f>AVERAGEIF(Inv_SY_B[[#This Row],[IS10Inv1M1]:[IS14Inv2M4]],"&gt;="&amp;0.1,Inv_SY_B[[#This Row],[IS10Inv1M1]:[IS14Inv2M4]])</f>
        <v>2.7552747214372362</v>
      </c>
    </row>
    <row r="29" spans="2:79">
      <c r="B29" s="173">
        <f t="shared" si="32"/>
        <v>45862</v>
      </c>
      <c r="C29" s="168">
        <f>IFERROR(VLOOKUP($B29,RD[#All],C$2,0)/C$1,"")</f>
        <v>2.2565863039957899</v>
      </c>
      <c r="D29" s="168">
        <f>IFERROR(VLOOKUP($B29,RD[#All],D$2,0)/D$1,"")</f>
        <v>2.2514494410529315</v>
      </c>
      <c r="E29" s="168">
        <f>IFERROR(VLOOKUP($B29,RD[#All],E$2,0)/E$1,"")</f>
        <v>2.2395311277244043</v>
      </c>
      <c r="F29" s="168">
        <f>IFERROR(VLOOKUP($B29,RD[#All],F$2,0)/F$1,"")</f>
        <v>2.2479458835175712</v>
      </c>
      <c r="G29" s="168">
        <f>IFERROR(VLOOKUP($B29,RD[#All],G$2,0)/G$1,"")</f>
        <v>2.2612128241770213</v>
      </c>
      <c r="H29" s="168">
        <f>IFERROR(VLOOKUP($B29,RD[#All],H$2,0)/H$1,"")</f>
        <v>2.2444149825913491</v>
      </c>
      <c r="I29" s="168">
        <f>IFERROR(VLOOKUP($B29,RD[#All],I$2,0)/I$1,"")</f>
        <v>2.2712496009694001</v>
      </c>
      <c r="J29" s="168">
        <f>IFERROR(VLOOKUP($B29,RD[#All],J$2,0)/J$1,"")</f>
        <v>2.2777016181002261</v>
      </c>
      <c r="K29" s="168">
        <f>IFERROR(VLOOKUP($B29,RD[#All],K$2,0)/K$1,"")</f>
        <v>2.2209812273229215</v>
      </c>
      <c r="L29" s="168">
        <f>IFERROR(VLOOKUP($B29,RD[#All],L$2,0)/L$1,"")</f>
        <v>2.3046248850348179</v>
      </c>
      <c r="M29" s="168">
        <f>IFERROR(VLOOKUP($B29,RD[#All],M$2,0)/M$1,"")</f>
        <v>2.365039742494909</v>
      </c>
      <c r="N29" s="168">
        <f>IFERROR(VLOOKUP($B29,RD[#All],N$2,0)/N$1,"")</f>
        <v>2.2557785658593024</v>
      </c>
      <c r="O29" s="168">
        <f>IFERROR(VLOOKUP($B29,RD[#All],O$2,0)/O$1,"")</f>
        <v>2.3144709146266891</v>
      </c>
      <c r="P29" s="168">
        <f>IFERROR(VLOOKUP($B29,RD[#All],P$2,0)/P$1,"")</f>
        <v>2.2731687273542267</v>
      </c>
      <c r="Q29" s="168">
        <f>IFERROR(VLOOKUP($B29,RD[#All],Q$2,0)/Q$1,"")</f>
        <v>2.2322012764959323</v>
      </c>
      <c r="R29" s="168">
        <f>IFERROR(VLOOKUP($B29,RD[#All],R$2,0)/R$1,"")</f>
        <v>2.2636833533951708</v>
      </c>
      <c r="S29" s="168">
        <f>IFERROR(VLOOKUP($B29,RD[#All],S$2,0)/S$1,"")</f>
        <v>2.2668945485620262</v>
      </c>
      <c r="T29" s="168">
        <f>IFERROR(VLOOKUP($B29,RD[#All],T$2,0)/T$1,"")</f>
        <v>2.0395719716753109</v>
      </c>
      <c r="U29" s="168">
        <f>IFERROR(VLOOKUP($B29,RD[#All],U$2,0)/U$1,"")</f>
        <v>2.2709064066276103</v>
      </c>
      <c r="V29" s="168">
        <f>IFERROR(VLOOKUP($B29,RD[#All],V$2,0)/V$1,"")</f>
        <v>2.282017609177351</v>
      </c>
      <c r="W29" s="168">
        <f>IFERROR(VLOOKUP($B29,RD[#All],W$2,0)/W$1,"")</f>
        <v>2.2863801352912061</v>
      </c>
      <c r="X29" s="168">
        <f>IFERROR(VLOOKUP($B29,RD[#All],X$2,0)/X$1,"")</f>
        <v>2.290395759932994</v>
      </c>
      <c r="Y29" s="168">
        <f>IFERROR(VLOOKUP($B29,RD[#All],Y$2,0)/Y$1,"")</f>
        <v>2.3191156715220371</v>
      </c>
      <c r="Z29" s="168">
        <f>IFERROR(VLOOKUP($B29,RD[#All],Z$2,0)/Z$1,"")</f>
        <v>2.3213612452647263</v>
      </c>
      <c r="AA29" s="168">
        <f>IFERROR(VLOOKUP($B29,RD[#All],AA$2,0)/AA$1,"")</f>
        <v>2.3193273460410557</v>
      </c>
      <c r="AB29" s="168">
        <f>IFERROR(VLOOKUP($B29,RD[#All],AB$2,0)/AB$1,"")</f>
        <v>2.2816773431466082</v>
      </c>
      <c r="AC29" s="168">
        <f>IFERROR(VLOOKUP($B29,RD[#All],AC$2,0)/AC$1,"")</f>
        <v>2.3039397732326496</v>
      </c>
      <c r="AD29" s="168">
        <f>IFERROR(VLOOKUP($B29,RD[#All],AD$2,0)/AD$1,"")</f>
        <v>2.2849911872373116</v>
      </c>
      <c r="AE29" s="168">
        <f>IFERROR(VLOOKUP($B29,RD[#All],AE$2,0)/AE$1,"")</f>
        <v>2.3083347346000789</v>
      </c>
      <c r="AF29" s="168">
        <f>IFERROR(VLOOKUP($B29,RD[#All],AF$2,0)/AF$1,"")</f>
        <v>2.276237172788897</v>
      </c>
      <c r="AG29" s="168">
        <f>IFERROR(VLOOKUP($B29,RD[#All],AG$2,0)/AG$1,"")</f>
        <v>2.3115169687883328</v>
      </c>
      <c r="AH29" s="168">
        <f>IFERROR(VLOOKUP($B29,RD[#All],AH$2,0)/AH$1,"")</f>
        <v>2.293874926316918</v>
      </c>
      <c r="AI29" s="168">
        <f>IFERROR(VLOOKUP($B29,RD[#All],AI$2,0)/AI$1,"")</f>
        <v>2.3220934987051929</v>
      </c>
      <c r="AJ29" s="168">
        <f>IFERROR(VLOOKUP($B29,RD[#All],AJ$2,0)/AJ$1,"")</f>
        <v>2.290561365612076</v>
      </c>
      <c r="AK29" s="168">
        <f>IFERROR(VLOOKUP($B29,RD[#All],AK$2,0)/AK$1,"")</f>
        <v>2.3079007491631689</v>
      </c>
      <c r="AL29" s="168">
        <f>IFERROR(VLOOKUP($B29,RD[#All],AL$2,0)/AL$1,"")</f>
        <v>2.3294238460706946</v>
      </c>
      <c r="AM29" s="168">
        <f>IFERROR(VLOOKUP($B29,RD[#All],AM$2,0)/AM$1,"")</f>
        <v>2.3034725073535842</v>
      </c>
      <c r="AN29" s="168">
        <f>IFERROR(VLOOKUP($B29,RD[#All],AN$2,0)/AN$1,"")</f>
        <v>2.3219153647849118</v>
      </c>
      <c r="AO29" s="168">
        <f>IFERROR(VLOOKUP($B29,RD[#All],AO$2,0)/AO$1,"")</f>
        <v>2.3289155734449776</v>
      </c>
      <c r="AP29" s="168">
        <f>IFERROR(VLOOKUP($B29,RD[#All],AP$2,0)/AP$1,"")</f>
        <v>2.3029340297643488</v>
      </c>
      <c r="AQ29" s="168">
        <f>IFERROR(VLOOKUP($B29,RD[#All],AQ$2,0)/AQ$1,"")</f>
        <v>2.3111345090813371</v>
      </c>
      <c r="AR29" s="168">
        <f>IFERROR(VLOOKUP($B29,RD[#All],AR$2,0)/AR$1,"")</f>
        <v>2.3031352503371685</v>
      </c>
      <c r="AS29" s="168">
        <f>IFERROR(VLOOKUP($B29,RD[#All],AS$2,0)/AS$1,"")</f>
        <v>2.2955698501411881</v>
      </c>
      <c r="AT29" s="168">
        <f>IFERROR(VLOOKUP($B29,RD[#All],AT$2,0)/AT$1,"")</f>
        <v>2.3366784689195699</v>
      </c>
      <c r="AU29" s="168">
        <f>IFERROR(VLOOKUP($B29,RD[#All],AU$2,0)/AU$1,"")</f>
        <v>2.3213534214291722</v>
      </c>
      <c r="AV29" s="168">
        <f>IFERROR(VLOOKUP($B29,RD[#All],AV$2,0)/AV$1,"")</f>
        <v>2.3160533932677643</v>
      </c>
      <c r="AW29" s="168">
        <f>IFERROR(VLOOKUP($B29,RD[#All],AW$2,0)/AW$1,"")</f>
        <v>2.2548865941360874</v>
      </c>
      <c r="AX29" s="168">
        <f>IFERROR(VLOOKUP($B29,RD[#All],AX$2,0)/AX$1,"")</f>
        <v>2.2853644200626961</v>
      </c>
      <c r="AY29" s="168">
        <f>IFERROR(VLOOKUP($B29,RD[#All],AY$2,0)/AY$1,"")</f>
        <v>2.1743421907062519</v>
      </c>
      <c r="AZ29" s="168">
        <f>IFERROR(VLOOKUP($B29,RD[#All],AZ$2,0)/AZ$1,"")</f>
        <v>2.3154515117807666</v>
      </c>
      <c r="BA29" s="168">
        <f>IFERROR(VLOOKUP($B29,RD[#All],BA$2,0)/BA$1,"")</f>
        <v>2.1604759649953524</v>
      </c>
      <c r="BB29" s="168">
        <f>IFERROR(VLOOKUP($B29,RD[#All],BB$2,0)/BB$1,"")</f>
        <v>2.2144111696569513</v>
      </c>
      <c r="BC29" s="168">
        <f>IFERROR(VLOOKUP($B29,RD[#All],BC$2,0)/BC$1,"")</f>
        <v>2.2121361397223467</v>
      </c>
      <c r="BD29" s="168">
        <f>IFERROR(VLOOKUP($B29,RD[#All],BD$2,0)/BD$1,"")</f>
        <v>2.2497327588569771</v>
      </c>
      <c r="BE29" s="168">
        <f>IFERROR(VLOOKUP($B29,RD[#All],BE$2,0)/BE$1,"")</f>
        <v>2.1696888991554961</v>
      </c>
      <c r="BF29" s="168">
        <f>IFERROR(VLOOKUP($B29,RD[#All],BF$2,0)/BF$1,"")</f>
        <v>2.1610506425438412</v>
      </c>
      <c r="BG29" s="168">
        <f>IFERROR(VLOOKUP($B29,RD[#All],BG$2,0)/BG$1,"")</f>
        <v>2.1646630813033849</v>
      </c>
      <c r="BH29" s="168">
        <f>IFERROR(VLOOKUP($B29,RD[#All],BH$2,0)/BH$1,"")</f>
        <v>2.1791147795576777</v>
      </c>
      <c r="BI29" s="168">
        <f>IFERROR(VLOOKUP($B29,RD[#All],BI$2,0)/BI$1,"")</f>
        <v>2.2132301196340602</v>
      </c>
      <c r="BJ29" s="168">
        <f>IFERROR(VLOOKUP($B29,RD[#All],BJ$2,0)/BJ$1,"")</f>
        <v>2.2213295980444663</v>
      </c>
      <c r="BK29" s="168">
        <f>IFERROR(VLOOKUP($B29,RD[#All],BK$2,0)/BK$1,"")</f>
        <v>2.2384994866401224</v>
      </c>
      <c r="BL29" s="168">
        <f>IFERROR(VLOOKUP($B29,RD[#All],BL$2,0)/BL$1,"")</f>
        <v>2.2199699415248992</v>
      </c>
      <c r="BM29" s="168">
        <f>IFERROR(VLOOKUP($B29,RD[#All],BM$2,0)/BM$1,"")</f>
        <v>2.2067336232172288</v>
      </c>
      <c r="BN29" s="168">
        <f>IFERROR(VLOOKUP($B29,RD[#All],BN$2,0)/BN$1,"")</f>
        <v>2.1937974239347411</v>
      </c>
      <c r="BO29" s="168">
        <f>IFERROR(VLOOKUP($B29,RD[#All],BO$2,0)/BO$1,"")</f>
        <v>2.1748758648198834</v>
      </c>
      <c r="BP29" s="168">
        <f>IFERROR(VLOOKUP($B29,RD[#All],BP$2,0)/BP$1,"")</f>
        <v>2.1887759604268777</v>
      </c>
      <c r="BQ29" s="168">
        <f>IFERROR(VLOOKUP($B29,RD[#All],BQ$2,0)/BQ$1,"")</f>
        <v>2.1875541919562465</v>
      </c>
      <c r="BR29" s="168">
        <f>IFERROR(VLOOKUP($B29,RD[#All],BR$2,0)/BR$1,"")</f>
        <v>2.3119035288895464</v>
      </c>
      <c r="BS29" s="168">
        <f>IFERROR(VLOOKUP($B29,RD[#All],BS$2,0)/BS$1,"")</f>
        <v>2.1817851382357616</v>
      </c>
      <c r="BT29" s="168">
        <f>IFERROR(VLOOKUP($B29,RD[#All],BT$2,0)/BT$1,"")</f>
        <v>2.2568671121009651</v>
      </c>
      <c r="BU29" s="168">
        <f>IFERROR(VLOOKUP($B29,RD[#All],BU$2,0)/BU$1,"")</f>
        <v>2.1273317112733174</v>
      </c>
      <c r="BV29" s="168">
        <f>IFERROR(VLOOKUP($B29,RD[#All],BV$2,0)/BV$1,"")</f>
        <v>1.9605263157894737</v>
      </c>
      <c r="BW29" s="168">
        <f>IFERROR(VLOOKUP($B29,RD[#All],BW$2,0)/BW$1,"")</f>
        <v>2.1363456202933016</v>
      </c>
      <c r="BX29" s="168">
        <f>IFERROR(VLOOKUP($B29,RD[#All],BX$2,0)/BX$1,"")</f>
        <v>2.0872463289886158</v>
      </c>
      <c r="BY29" s="168">
        <f>AVERAGEIF(Inv_SY_B[[#This Row],[IS1Inv1M1]:[IS4Inv4M2]],"&gt;="&amp;0.1,Inv_SY_B[[#This Row],[IS1Inv1M1]:[IS4Inv4M2]])</f>
        <v>2.2695221240151269</v>
      </c>
      <c r="BZ29" s="168">
        <f>AVERAGEIF(Inv_SY_B[[#This Row],[IS5Inv1M1]:[IS9Inv2M2]],"&gt;="&amp;0.1,Inv_SY_B[[#This Row],[IS5Inv1M1]:[IS9Inv2M2]])</f>
        <v>2.3100614239205215</v>
      </c>
      <c r="CA29" s="168">
        <f>AVERAGEIF(Inv_SY_B[[#This Row],[IS10Inv1M1]:[IS14Inv2M4]],"&gt;="&amp;0.1,Inv_SY_B[[#This Row],[IS10Inv1M1]:[IS14Inv2M4]])</f>
        <v>2.1945746470802616</v>
      </c>
    </row>
    <row r="30" spans="2:79">
      <c r="B30" s="173">
        <f t="shared" si="32"/>
        <v>45863</v>
      </c>
      <c r="C30" s="168">
        <f>IFERROR(VLOOKUP($B30,RD[#All],C$2,0)/C$1,"")</f>
        <v>3.0965260398232166</v>
      </c>
      <c r="D30" s="168">
        <f>IFERROR(VLOOKUP($B30,RD[#All],D$2,0)/D$1,"")</f>
        <v>3.0900736388096259</v>
      </c>
      <c r="E30" s="168">
        <f>IFERROR(VLOOKUP($B30,RD[#All],E$2,0)/E$1,"")</f>
        <v>3.0829018132170032</v>
      </c>
      <c r="F30" s="168">
        <f>IFERROR(VLOOKUP($B30,RD[#All],F$2,0)/F$1,"")</f>
        <v>3.0905131166474176</v>
      </c>
      <c r="G30" s="168">
        <f>IFERROR(VLOOKUP($B30,RD[#All],G$2,0)/G$1,"")</f>
        <v>3.1170337522188545</v>
      </c>
      <c r="H30" s="168">
        <f>IFERROR(VLOOKUP($B30,RD[#All],H$2,0)/H$1,"")</f>
        <v>3.0828800475795157</v>
      </c>
      <c r="I30" s="168">
        <f>IFERROR(VLOOKUP($B30,RD[#All],I$2,0)/I$1,"")</f>
        <v>3.1116569053466843</v>
      </c>
      <c r="J30" s="168">
        <f>IFERROR(VLOOKUP($B30,RD[#All],J$2,0)/J$1,"")</f>
        <v>3.1174499396581017</v>
      </c>
      <c r="K30" s="168">
        <f>IFERROR(VLOOKUP($B30,RD[#All],K$2,0)/K$1,"")</f>
        <v>3.0419309039280642</v>
      </c>
      <c r="L30" s="168">
        <f>IFERROR(VLOOKUP($B30,RD[#All],L$2,0)/L$1,"")</f>
        <v>3.1549073709105238</v>
      </c>
      <c r="M30" s="168">
        <f>IFERROR(VLOOKUP($B30,RD[#All],M$2,0)/M$1,"")</f>
        <v>3.2259081652762269</v>
      </c>
      <c r="N30" s="168">
        <f>IFERROR(VLOOKUP($B30,RD[#All],N$2,0)/N$1,"")</f>
        <v>3.0664126361326995</v>
      </c>
      <c r="O30" s="168">
        <f>IFERROR(VLOOKUP($B30,RD[#All],O$2,0)/O$1,"")</f>
        <v>3.1660798310943465</v>
      </c>
      <c r="P30" s="168">
        <f>IFERROR(VLOOKUP($B30,RD[#All],P$2,0)/P$1,"")</f>
        <v>3.1065954453201847</v>
      </c>
      <c r="Q30" s="168">
        <f>IFERROR(VLOOKUP($B30,RD[#All],Q$2,0)/Q$1,"")</f>
        <v>3.1251311679814329</v>
      </c>
      <c r="R30" s="168">
        <f>IFERROR(VLOOKUP($B30,RD[#All],R$2,0)/R$1,"")</f>
        <v>3.102675841470715</v>
      </c>
      <c r="S30" s="168">
        <f>IFERROR(VLOOKUP($B30,RD[#All],S$2,0)/S$1,"")</f>
        <v>3.0681782024300333</v>
      </c>
      <c r="T30" s="168">
        <f>IFERROR(VLOOKUP($B30,RD[#All],T$2,0)/T$1,"")</f>
        <v>2.7697950954075621</v>
      </c>
      <c r="U30" s="168">
        <f>IFERROR(VLOOKUP($B30,RD[#All],U$2,0)/U$1,"")</f>
        <v>3.0853934908738703</v>
      </c>
      <c r="V30" s="168">
        <f>IFERROR(VLOOKUP($B30,RD[#All],V$2,0)/V$1,"")</f>
        <v>3.1067877918127706</v>
      </c>
      <c r="W30" s="168">
        <f>IFERROR(VLOOKUP($B30,RD[#All],W$2,0)/W$1,"")</f>
        <v>3.0711516251443656</v>
      </c>
      <c r="X30" s="168">
        <f>IFERROR(VLOOKUP($B30,RD[#All],X$2,0)/X$1,"")</f>
        <v>3.0884262854313818</v>
      </c>
      <c r="Y30" s="168">
        <f>IFERROR(VLOOKUP($B30,RD[#All],Y$2,0)/Y$1,"")</f>
        <v>3.1339834669821052</v>
      </c>
      <c r="Z30" s="168">
        <f>IFERROR(VLOOKUP($B30,RD[#All],Z$2,0)/Z$1,"")</f>
        <v>3.1415285732239355</v>
      </c>
      <c r="AA30" s="168">
        <f>IFERROR(VLOOKUP($B30,RD[#All],AA$2,0)/AA$1,"")</f>
        <v>3.1379215542521992</v>
      </c>
      <c r="AB30" s="168">
        <f>IFERROR(VLOOKUP($B30,RD[#All],AB$2,0)/AB$1,"")</f>
        <v>3.083912589159965</v>
      </c>
      <c r="AC30" s="168">
        <f>IFERROR(VLOOKUP($B30,RD[#All],AC$2,0)/AC$1,"")</f>
        <v>3.1264642907903846</v>
      </c>
      <c r="AD30" s="168">
        <f>IFERROR(VLOOKUP($B30,RD[#All],AD$2,0)/AD$1,"")</f>
        <v>3.0957653545442216</v>
      </c>
      <c r="AE30" s="168">
        <f>IFERROR(VLOOKUP($B30,RD[#All],AE$2,0)/AE$1,"")</f>
        <v>3.0596379126730566</v>
      </c>
      <c r="AF30" s="168">
        <f>IFERROR(VLOOKUP($B30,RD[#All],AF$2,0)/AF$1,"")</f>
        <v>3.0445569755914583</v>
      </c>
      <c r="AG30" s="168">
        <f>IFERROR(VLOOKUP($B30,RD[#All],AG$2,0)/AG$1,"")</f>
        <v>3.1144609513425103</v>
      </c>
      <c r="AH30" s="168">
        <f>IFERROR(VLOOKUP($B30,RD[#All],AH$2,0)/AH$1,"")</f>
        <v>3.0740046085418786</v>
      </c>
      <c r="AI30" s="168">
        <f>IFERROR(VLOOKUP($B30,RD[#All],AI$2,0)/AI$1,"")</f>
        <v>3.1035573122529643</v>
      </c>
      <c r="AJ30" s="168">
        <f>IFERROR(VLOOKUP($B30,RD[#All],AJ$2,0)/AJ$1,"")</f>
        <v>3.052185137377835</v>
      </c>
      <c r="AK30" s="168">
        <f>IFERROR(VLOOKUP($B30,RD[#All],AK$2,0)/AK$1,"")</f>
        <v>3.0666277030976037</v>
      </c>
      <c r="AL30" s="168">
        <f>IFERROR(VLOOKUP($B30,RD[#All],AL$2,0)/AL$1,"")</f>
        <v>3.0879364393038591</v>
      </c>
      <c r="AM30" s="168">
        <f>IFERROR(VLOOKUP($B30,RD[#All],AM$2,0)/AM$1,"")</f>
        <v>3.0960442090100759</v>
      </c>
      <c r="AN30" s="168">
        <f>IFERROR(VLOOKUP($B30,RD[#All],AN$2,0)/AN$1,"")</f>
        <v>3.1368338863946907</v>
      </c>
      <c r="AO30" s="168">
        <f>IFERROR(VLOOKUP($B30,RD[#All],AO$2,0)/AO$1,"")</f>
        <v>3.1558825311139085</v>
      </c>
      <c r="AP30" s="168">
        <f>IFERROR(VLOOKUP($B30,RD[#All],AP$2,0)/AP$1,"")</f>
        <v>3.128352864364226</v>
      </c>
      <c r="AQ30" s="168">
        <f>IFERROR(VLOOKUP($B30,RD[#All],AQ$2,0)/AQ$1,"")</f>
        <v>3.1366807054488022</v>
      </c>
      <c r="AR30" s="168">
        <f>IFERROR(VLOOKUP($B30,RD[#All],AR$2,0)/AR$1,"")</f>
        <v>3.1236617326295812</v>
      </c>
      <c r="AS30" s="168">
        <f>IFERROR(VLOOKUP($B30,RD[#All],AS$2,0)/AS$1,"")</f>
        <v>3.0127831089552064</v>
      </c>
      <c r="AT30" s="168">
        <f>IFERROR(VLOOKUP($B30,RD[#All],AT$2,0)/AT$1,"")</f>
        <v>3.0302319247449243</v>
      </c>
      <c r="AU30" s="168">
        <f>IFERROR(VLOOKUP($B30,RD[#All],AU$2,0)/AU$1,"")</f>
        <v>3.0211087537621646</v>
      </c>
      <c r="AV30" s="168">
        <f>IFERROR(VLOOKUP($B30,RD[#All],AV$2,0)/AV$1,"")</f>
        <v>3.0480624400931116</v>
      </c>
      <c r="AW30" s="168">
        <f>IFERROR(VLOOKUP($B30,RD[#All],AW$2,0)/AW$1,"")</f>
        <v>3.1667434999078004</v>
      </c>
      <c r="AX30" s="168">
        <f>IFERROR(VLOOKUP($B30,RD[#All],AX$2,0)/AX$1,"")</f>
        <v>3.2221786833855801</v>
      </c>
      <c r="AY30" s="168">
        <f>IFERROR(VLOOKUP($B30,RD[#All],AY$2,0)/AY$1,"")</f>
        <v>3.131665757552144</v>
      </c>
      <c r="AZ30" s="168">
        <f>IFERROR(VLOOKUP($B30,RD[#All],AZ$2,0)/AZ$1,"")</f>
        <v>3.3536758013954899</v>
      </c>
      <c r="BA30" s="168">
        <f>IFERROR(VLOOKUP($B30,RD[#All],BA$2,0)/BA$1,"")</f>
        <v>3.1300310411953491</v>
      </c>
      <c r="BB30" s="168">
        <f>IFERROR(VLOOKUP($B30,RD[#All],BB$2,0)/BB$1,"")</f>
        <v>3.212521398875031</v>
      </c>
      <c r="BC30" s="168">
        <f>IFERROR(VLOOKUP($B30,RD[#All],BC$2,0)/BC$1,"")</f>
        <v>3.2141065830721005</v>
      </c>
      <c r="BD30" s="168">
        <f>IFERROR(VLOOKUP($B30,RD[#All],BD$2,0)/BD$1,"")</f>
        <v>3.2556116219172222</v>
      </c>
      <c r="BE30" s="168">
        <f>IFERROR(VLOOKUP($B30,RD[#All],BE$2,0)/BE$1,"")</f>
        <v>3.1805118658577189</v>
      </c>
      <c r="BF30" s="168">
        <f>IFERROR(VLOOKUP($B30,RD[#All],BF$2,0)/BF$1,"")</f>
        <v>3.1806561385808463</v>
      </c>
      <c r="BG30" s="168">
        <f>IFERROR(VLOOKUP($B30,RD[#All],BG$2,0)/BG$1,"")</f>
        <v>3.2052572546087257</v>
      </c>
      <c r="BH30" s="168">
        <f>IFERROR(VLOOKUP($B30,RD[#All],BH$2,0)/BH$1,"")</f>
        <v>3.2149636191078774</v>
      </c>
      <c r="BI30" s="168">
        <f>IFERROR(VLOOKUP($B30,RD[#All],BI$2,0)/BI$1,"")</f>
        <v>3.2870696171188785</v>
      </c>
      <c r="BJ30" s="168">
        <f>IFERROR(VLOOKUP($B30,RD[#All],BJ$2,0)/BJ$1,"")</f>
        <v>3.3108117386945715</v>
      </c>
      <c r="BK30" s="168">
        <f>IFERROR(VLOOKUP($B30,RD[#All],BK$2,0)/BK$1,"")</f>
        <v>3.3213758044724915</v>
      </c>
      <c r="BL30" s="168">
        <f>IFERROR(VLOOKUP($B30,RD[#All],BL$2,0)/BL$1,"")</f>
        <v>3.2797206329961228</v>
      </c>
      <c r="BM30" s="168">
        <f>IFERROR(VLOOKUP($B30,RD[#All],BM$2,0)/BM$1,"")</f>
        <v>3.2328382405674732</v>
      </c>
      <c r="BN30" s="168">
        <f>IFERROR(VLOOKUP($B30,RD[#All],BN$2,0)/BN$1,"")</f>
        <v>3.2097266885653308</v>
      </c>
      <c r="BO30" s="168">
        <f>IFERROR(VLOOKUP($B30,RD[#All],BO$2,0)/BO$1,"")</f>
        <v>3.1931006973577429</v>
      </c>
      <c r="BP30" s="168">
        <f>IFERROR(VLOOKUP($B30,RD[#All],BP$2,0)/BP$1,"")</f>
        <v>3.212014014648449</v>
      </c>
      <c r="BQ30" s="168">
        <f>IFERROR(VLOOKUP($B30,RD[#All],BQ$2,0)/BQ$1,"")</f>
        <v>3.2232375108383917</v>
      </c>
      <c r="BR30" s="168">
        <f>IFERROR(VLOOKUP($B30,RD[#All],BR$2,0)/BR$1,"")</f>
        <v>3.4085965820818225</v>
      </c>
      <c r="BS30" s="168">
        <f>IFERROR(VLOOKUP($B30,RD[#All],BS$2,0)/BS$1,"")</f>
        <v>3.2323920731199411</v>
      </c>
      <c r="BT30" s="168">
        <f>IFERROR(VLOOKUP($B30,RD[#All],BT$2,0)/BT$1,"")</f>
        <v>3.3357629749611934</v>
      </c>
      <c r="BU30" s="168">
        <f>IFERROR(VLOOKUP($B30,RD[#All],BU$2,0)/BU$1,"")</f>
        <v>3.1636068716360688</v>
      </c>
      <c r="BV30" s="168">
        <f>IFERROR(VLOOKUP($B30,RD[#All],BV$2,0)/BV$1,"")</f>
        <v>3.1636842105263159</v>
      </c>
      <c r="BW30" s="168">
        <f>IFERROR(VLOOKUP($B30,RD[#All],BW$2,0)/BW$1,"")</f>
        <v>3.1407055093143081</v>
      </c>
      <c r="BX30" s="168">
        <f>IFERROR(VLOOKUP($B30,RD[#All],BX$2,0)/BX$1,"")</f>
        <v>3.0342847714898529</v>
      </c>
      <c r="BY30" s="168">
        <f>AVERAGEIF(Inv_SY_B[[#This Row],[IS1Inv1M1]:[IS4Inv4M2]],"&gt;="&amp;0.1,Inv_SY_B[[#This Row],[IS1Inv1M1]:[IS4Inv4M2]])</f>
        <v>3.0959994619809783</v>
      </c>
      <c r="BZ30" s="168">
        <f>AVERAGEIF(Inv_SY_B[[#This Row],[IS5Inv1M1]:[IS9Inv2M2]],"&gt;="&amp;0.1,Inv_SY_B[[#This Row],[IS5Inv1M1]:[IS9Inv2M2]])</f>
        <v>3.0829227331498803</v>
      </c>
      <c r="CA30" s="168">
        <f>AVERAGEIF(Inv_SY_B[[#This Row],[IS10Inv1M1]:[IS14Inv2M4]],"&gt;="&amp;0.1,Inv_SY_B[[#This Row],[IS10Inv1M1]:[IS14Inv2M4]])</f>
        <v>3.222030400137315</v>
      </c>
    </row>
    <row r="31" spans="2:79">
      <c r="B31" s="173">
        <f t="shared" si="32"/>
        <v>45864</v>
      </c>
      <c r="C31" s="168">
        <f>IFERROR(VLOOKUP($B31,RD[#All],C$2,0)/C$1,"")</f>
        <v>1.1208384362637465</v>
      </c>
      <c r="D31" s="168">
        <f>IFERROR(VLOOKUP($B31,RD[#All],D$2,0)/D$1,"")</f>
        <v>1.1221539743344786</v>
      </c>
      <c r="E31" s="168">
        <f>IFERROR(VLOOKUP($B31,RD[#All],E$2,0)/E$1,"")</f>
        <v>1.1151700827519606</v>
      </c>
      <c r="F31" s="168">
        <f>IFERROR(VLOOKUP($B31,RD[#All],F$2,0)/F$1,"")</f>
        <v>1.1087279326843755</v>
      </c>
      <c r="G31" s="168">
        <f>IFERROR(VLOOKUP($B31,RD[#All],G$2,0)/G$1,"")</f>
        <v>1.1150343802267237</v>
      </c>
      <c r="H31" s="168">
        <f>IFERROR(VLOOKUP($B31,RD[#All],H$2,0)/H$1,"")</f>
        <v>1.1091355148871844</v>
      </c>
      <c r="I31" s="168">
        <f>IFERROR(VLOOKUP($B31,RD[#All],I$2,0)/I$1,"")</f>
        <v>1.1206733682091508</v>
      </c>
      <c r="J31" s="168">
        <f>IFERROR(VLOOKUP($B31,RD[#All],J$2,0)/J$1,"")</f>
        <v>1.1321428989888338</v>
      </c>
      <c r="K31" s="168">
        <f>IFERROR(VLOOKUP($B31,RD[#All],K$2,0)/K$1,"")</f>
        <v>1.0980280801388231</v>
      </c>
      <c r="L31" s="168">
        <f>IFERROR(VLOOKUP($B31,RD[#All],L$2,0)/L$1,"")</f>
        <v>1.1408487715149125</v>
      </c>
      <c r="M31" s="168">
        <f>IFERROR(VLOOKUP($B31,RD[#All],M$2,0)/M$1,"")</f>
        <v>1.1244826906654404</v>
      </c>
      <c r="N31" s="168">
        <f>IFERROR(VLOOKUP($B31,RD[#All],N$2,0)/N$1,"")</f>
        <v>1.084094167358334</v>
      </c>
      <c r="O31" s="168">
        <f>IFERROR(VLOOKUP($B31,RD[#All],O$2,0)/O$1,"")</f>
        <v>1.1463570063017774</v>
      </c>
      <c r="P31" s="168">
        <f>IFERROR(VLOOKUP($B31,RD[#All],P$2,0)/P$1,"")</f>
        <v>1.1414092363627308</v>
      </c>
      <c r="Q31" s="168">
        <f>IFERROR(VLOOKUP($B31,RD[#All],Q$2,0)/Q$1,"")</f>
        <v>1.139278792143501</v>
      </c>
      <c r="R31" s="168">
        <f>IFERROR(VLOOKUP($B31,RD[#All],R$2,0)/R$1,"")</f>
        <v>1.1294278192246043</v>
      </c>
      <c r="S31" s="168">
        <f>IFERROR(VLOOKUP($B31,RD[#All],S$2,0)/S$1,"")</f>
        <v>1.1733341818297525</v>
      </c>
      <c r="T31" s="168">
        <f>IFERROR(VLOOKUP($B31,RD[#All],T$2,0)/T$1,"")</f>
        <v>1.0663864967833097</v>
      </c>
      <c r="U31" s="168">
        <f>IFERROR(VLOOKUP($B31,RD[#All],U$2,0)/U$1,"")</f>
        <v>1.1735610242329066</v>
      </c>
      <c r="V31" s="168">
        <f>IFERROR(VLOOKUP($B31,RD[#All],V$2,0)/V$1,"")</f>
        <v>1.1810153031062012</v>
      </c>
      <c r="W31" s="168">
        <f>IFERROR(VLOOKUP($B31,RD[#All],W$2,0)/W$1,"")</f>
        <v>1.199430786998845</v>
      </c>
      <c r="X31" s="168">
        <f>IFERROR(VLOOKUP($B31,RD[#All],X$2,0)/X$1,"")</f>
        <v>1.2026408862635256</v>
      </c>
      <c r="Y31" s="168">
        <f>IFERROR(VLOOKUP($B31,RD[#All],Y$2,0)/Y$1,"")</f>
        <v>1.2241585629203746</v>
      </c>
      <c r="Z31" s="168">
        <f>IFERROR(VLOOKUP($B31,RD[#All],Z$2,0)/Z$1,"")</f>
        <v>1.2278945762042406</v>
      </c>
      <c r="AA31" s="168">
        <f>IFERROR(VLOOKUP($B31,RD[#All],AA$2,0)/AA$1,"")</f>
        <v>1.2173753665689151</v>
      </c>
      <c r="AB31" s="168">
        <f>IFERROR(VLOOKUP($B31,RD[#All],AB$2,0)/AB$1,"")</f>
        <v>1.1955385943391938</v>
      </c>
      <c r="AC31" s="168">
        <f>IFERROR(VLOOKUP($B31,RD[#All],AC$2,0)/AC$1,"")</f>
        <v>1.2170978730818076</v>
      </c>
      <c r="AD31" s="168">
        <f>IFERROR(VLOOKUP($B31,RD[#All],AD$2,0)/AD$1,"")</f>
        <v>1.2075744565463007</v>
      </c>
      <c r="AE31" s="168">
        <f>IFERROR(VLOOKUP($B31,RD[#All],AE$2,0)/AE$1,"")</f>
        <v>1.2068830222521159</v>
      </c>
      <c r="AF31" s="168">
        <f>IFERROR(VLOOKUP($B31,RD[#All],AF$2,0)/AF$1,"")</f>
        <v>1.1939554698175388</v>
      </c>
      <c r="AG31" s="168">
        <f>IFERROR(VLOOKUP($B31,RD[#All],AG$2,0)/AG$1,"")</f>
        <v>1.2141202126209623</v>
      </c>
      <c r="AH31" s="168">
        <f>IFERROR(VLOOKUP($B31,RD[#All],AH$2,0)/AH$1,"")</f>
        <v>1.2070628583677188</v>
      </c>
      <c r="AI31" s="168">
        <f>IFERROR(VLOOKUP($B31,RD[#All],AI$2,0)/AI$1,"")</f>
        <v>1.2212075780291671</v>
      </c>
      <c r="AJ31" s="168">
        <f>IFERROR(VLOOKUP($B31,RD[#All],AJ$2,0)/AJ$1,"")</f>
        <v>1.2047100972050262</v>
      </c>
      <c r="AK31" s="168">
        <f>IFERROR(VLOOKUP($B31,RD[#All],AK$2,0)/AK$1,"")</f>
        <v>1.2143881834121459</v>
      </c>
      <c r="AL31" s="168">
        <f>IFERROR(VLOOKUP($B31,RD[#All],AL$2,0)/AL$1,"")</f>
        <v>1.2267862933736895</v>
      </c>
      <c r="AM31" s="168">
        <f>IFERROR(VLOOKUP($B31,RD[#All],AM$2,0)/AM$1,"")</f>
        <v>1.1656020515996151</v>
      </c>
      <c r="AN31" s="168">
        <f>IFERROR(VLOOKUP($B31,RD[#All],AN$2,0)/AN$1,"")</f>
        <v>1.1775831779601122</v>
      </c>
      <c r="AO31" s="168">
        <f>IFERROR(VLOOKUP($B31,RD[#All],AO$2,0)/AO$1,"")</f>
        <v>1.1810159725914906</v>
      </c>
      <c r="AP31" s="168">
        <f>IFERROR(VLOOKUP($B31,RD[#All],AP$2,0)/AP$1,"")</f>
        <v>1.1692367753269568</v>
      </c>
      <c r="AQ31" s="168">
        <f>IFERROR(VLOOKUP($B31,RD[#All],AQ$2,0)/AQ$1,"")</f>
        <v>1.1697815214530138</v>
      </c>
      <c r="AR31" s="168">
        <f>IFERROR(VLOOKUP($B31,RD[#All],AR$2,0)/AR$1,"")</f>
        <v>1.1658535773156398</v>
      </c>
      <c r="AS31" s="168">
        <f>IFERROR(VLOOKUP($B31,RD[#All],AS$2,0)/AS$1,"")</f>
        <v>1.2074941122710816</v>
      </c>
      <c r="AT31" s="168">
        <f>IFERROR(VLOOKUP($B31,RD[#All],AT$2,0)/AT$1,"")</f>
        <v>1.2281326601160671</v>
      </c>
      <c r="AU31" s="168">
        <f>IFERROR(VLOOKUP($B31,RD[#All],AU$2,0)/AU$1,"")</f>
        <v>1.2144571599395149</v>
      </c>
      <c r="AV31" s="168">
        <f>IFERROR(VLOOKUP($B31,RD[#All],AV$2,0)/AV$1,"")</f>
        <v>1.2181578661579793</v>
      </c>
      <c r="AW31" s="168">
        <f>IFERROR(VLOOKUP($B31,RD[#All],AW$2,0)/AW$1,"")</f>
        <v>1.1949105661073207</v>
      </c>
      <c r="AX31" s="168">
        <f>IFERROR(VLOOKUP($B31,RD[#All],AX$2,0)/AX$1,"")</f>
        <v>1.2085619122257054</v>
      </c>
      <c r="AY31" s="168">
        <f>IFERROR(VLOOKUP($B31,RD[#All],AY$2,0)/AY$1,"")</f>
        <v>1.1474583755422219</v>
      </c>
      <c r="AZ31" s="168">
        <f>IFERROR(VLOOKUP($B31,RD[#All],AZ$2,0)/AZ$1,"")</f>
        <v>1.2226210941450095</v>
      </c>
      <c r="BA31" s="168">
        <f>IFERROR(VLOOKUP($B31,RD[#All],BA$2,0)/BA$1,"")</f>
        <v>1.1465512705845213</v>
      </c>
      <c r="BB31" s="168">
        <f>IFERROR(VLOOKUP($B31,RD[#All],BB$2,0)/BB$1,"")</f>
        <v>1.1829965094822028</v>
      </c>
      <c r="BC31" s="168">
        <f>IFERROR(VLOOKUP($B31,RD[#All],BC$2,0)/BC$1,"")</f>
        <v>1.1836542767577249</v>
      </c>
      <c r="BD31" s="168">
        <f>IFERROR(VLOOKUP($B31,RD[#All],BD$2,0)/BD$1,"")</f>
        <v>1.2036240463094197</v>
      </c>
      <c r="BE31" s="168">
        <f>IFERROR(VLOOKUP($B31,RD[#All],BE$2,0)/BE$1,"")</f>
        <v>1.1170144102400348</v>
      </c>
      <c r="BF31" s="168">
        <f>IFERROR(VLOOKUP($B31,RD[#All],BF$2,0)/BF$1,"")</f>
        <v>1.096813358755782</v>
      </c>
      <c r="BG31" s="168">
        <f>IFERROR(VLOOKUP($B31,RD[#All],BG$2,0)/BG$1,"")</f>
        <v>1.1197549682206438</v>
      </c>
      <c r="BH31" s="168">
        <f>IFERROR(VLOOKUP($B31,RD[#All],BH$2,0)/BH$1,"")</f>
        <v>1.1234937160277243</v>
      </c>
      <c r="BI31" s="168">
        <f>IFERROR(VLOOKUP($B31,RD[#All],BI$2,0)/BI$1,"")</f>
        <v>1.1477962832642634</v>
      </c>
      <c r="BJ31" s="168">
        <f>IFERROR(VLOOKUP($B31,RD[#All],BJ$2,0)/BJ$1,"")</f>
        <v>1.1507985553220998</v>
      </c>
      <c r="BK31" s="168">
        <f>IFERROR(VLOOKUP($B31,RD[#All],BK$2,0)/BK$1,"")</f>
        <v>1.1638244058798488</v>
      </c>
      <c r="BL31" s="168">
        <f>IFERROR(VLOOKUP($B31,RD[#All],BL$2,0)/BL$1,"")</f>
        <v>1.1513153740259412</v>
      </c>
      <c r="BM31" s="168">
        <f>IFERROR(VLOOKUP($B31,RD[#All],BM$2,0)/BM$1,"")</f>
        <v>1.1808700735557784</v>
      </c>
      <c r="BN31" s="168">
        <f>IFERROR(VLOOKUP($B31,RD[#All],BN$2,0)/BN$1,"")</f>
        <v>1.1775229964735865</v>
      </c>
      <c r="BO31" s="168">
        <f>IFERROR(VLOOKUP($B31,RD[#All],BO$2,0)/BO$1,"")</f>
        <v>1.1642985846526277</v>
      </c>
      <c r="BP31" s="168">
        <f>IFERROR(VLOOKUP($B31,RD[#All],BP$2,0)/BP$1,"")</f>
        <v>1.1715873148894818</v>
      </c>
      <c r="BQ31" s="168">
        <f>IFERROR(VLOOKUP($B31,RD[#All],BQ$2,0)/BQ$1,"")</f>
        <v>1.1444007203361568</v>
      </c>
      <c r="BR31" s="168">
        <f>IFERROR(VLOOKUP($B31,RD[#All],BR$2,0)/BR$1,"")</f>
        <v>1.2055189761041651</v>
      </c>
      <c r="BS31" s="168">
        <f>IFERROR(VLOOKUP($B31,RD[#All],BS$2,0)/BS$1,"")</f>
        <v>1.1270890600271097</v>
      </c>
      <c r="BT31" s="168">
        <f>IFERROR(VLOOKUP($B31,RD[#All],BT$2,0)/BT$1,"")</f>
        <v>1.1727745157589256</v>
      </c>
      <c r="BU31" s="168">
        <f>IFERROR(VLOOKUP($B31,RD[#All],BU$2,0)/BU$1,"")</f>
        <v>1.0981346309813464</v>
      </c>
      <c r="BV31" s="168">
        <f>IFERROR(VLOOKUP($B31,RD[#All],BV$2,0)/BV$1,"")</f>
        <v>0.69684210526315793</v>
      </c>
      <c r="BW31" s="168">
        <f>IFERROR(VLOOKUP($B31,RD[#All],BW$2,0)/BW$1,"")</f>
        <v>1.1006377688898497</v>
      </c>
      <c r="BX31" s="168">
        <f>IFERROR(VLOOKUP($B31,RD[#All],BX$2,0)/BX$1,"")</f>
        <v>1.0488038277511962</v>
      </c>
      <c r="BY31" s="168">
        <f>AVERAGEIF(Inv_SY_B[[#This Row],[IS1Inv1M1]:[IS4Inv4M2]],"&gt;="&amp;0.1,Inv_SY_B[[#This Row],[IS1Inv1M1]:[IS4Inv4M2]])</f>
        <v>1.1512075450332842</v>
      </c>
      <c r="BZ31" s="168">
        <f>AVERAGEIF(Inv_SY_B[[#This Row],[IS5Inv1M1]:[IS9Inv2M2]],"&gt;="&amp;0.1,Inv_SY_B[[#This Row],[IS5Inv1M1]:[IS9Inv2M2]])</f>
        <v>1.199246032767213</v>
      </c>
      <c r="CA31" s="168">
        <f>AVERAGEIF(Inv_SY_B[[#This Row],[IS10Inv1M1]:[IS14Inv2M4]],"&gt;="&amp;0.1,Inv_SY_B[[#This Row],[IS10Inv1M1]:[IS14Inv2M4]])</f>
        <v>1.1374882034847802</v>
      </c>
    </row>
    <row r="32" spans="2:79">
      <c r="B32" s="173">
        <f>B31+1</f>
        <v>45865</v>
      </c>
      <c r="C32" s="168">
        <f>IFERROR(VLOOKUP($B32,RD[#All],C$2,0)/C$1,"")</f>
        <v>2.2860292989121751</v>
      </c>
      <c r="D32" s="168">
        <f>IFERROR(VLOOKUP($B32,RD[#All],D$2,0)/D$1,"")</f>
        <v>2.2803912786090375</v>
      </c>
      <c r="E32" s="168">
        <f>IFERROR(VLOOKUP($B32,RD[#All],E$2,0)/E$1,"")</f>
        <v>2.2701676684593486</v>
      </c>
      <c r="F32" s="168">
        <f>IFERROR(VLOOKUP($B32,RD[#All],F$2,0)/F$1,"")</f>
        <v>2.2698564593301436</v>
      </c>
      <c r="G32" s="168">
        <f>IFERROR(VLOOKUP($B32,RD[#All],G$2,0)/G$1,"")</f>
        <v>2.2776179277021962</v>
      </c>
      <c r="H32" s="168">
        <f>IFERROR(VLOOKUP($B32,RD[#All],H$2,0)/H$1,"")</f>
        <v>2.2621333961118615</v>
      </c>
      <c r="I32" s="168">
        <f>IFERROR(VLOOKUP($B32,RD[#All],I$2,0)/I$1,"")</f>
        <v>2.2933347231541985</v>
      </c>
      <c r="J32" s="168">
        <f>IFERROR(VLOOKUP($B32,RD[#All],J$2,0)/J$1,"")</f>
        <v>2.3147855226311411</v>
      </c>
      <c r="K32" s="168">
        <f>IFERROR(VLOOKUP($B32,RD[#All],K$2,0)/K$1,"")</f>
        <v>2.2342956302255876</v>
      </c>
      <c r="L32" s="168">
        <f>IFERROR(VLOOKUP($B32,RD[#All],L$2,0)/L$1,"")</f>
        <v>2.3197345946656154</v>
      </c>
      <c r="M32" s="168">
        <f>IFERROR(VLOOKUP($B32,RD[#All],M$2,0)/M$1,"")</f>
        <v>2.3658280233856663</v>
      </c>
      <c r="N32" s="168">
        <f>IFERROR(VLOOKUP($B32,RD[#All],N$2,0)/N$1,"")</f>
        <v>2.2617520561382332</v>
      </c>
      <c r="O32" s="168">
        <f>IFERROR(VLOOKUP($B32,RD[#All],O$2,0)/O$1,"")</f>
        <v>2.3244481921816766</v>
      </c>
      <c r="P32" s="168">
        <f>IFERROR(VLOOKUP($B32,RD[#All],P$2,0)/P$1,"")</f>
        <v>2.2790830874204677</v>
      </c>
      <c r="Q32" s="168">
        <f>IFERROR(VLOOKUP($B32,RD[#All],Q$2,0)/Q$1,"")</f>
        <v>2.2942360159500268</v>
      </c>
      <c r="R32" s="168">
        <f>IFERROR(VLOOKUP($B32,RD[#All],R$2,0)/R$1,"")</f>
        <v>2.2813206053310844</v>
      </c>
      <c r="S32" s="168">
        <f>IFERROR(VLOOKUP($B32,RD[#All],S$2,0)/S$1,"")</f>
        <v>2.2821220289367585</v>
      </c>
      <c r="T32" s="168">
        <f>IFERROR(VLOOKUP($B32,RD[#All],T$2,0)/T$1,"")</f>
        <v>2.0609895827007243</v>
      </c>
      <c r="U32" s="168">
        <f>IFERROR(VLOOKUP($B32,RD[#All],U$2,0)/U$1,"")</f>
        <v>2.2879268028925273</v>
      </c>
      <c r="V32" s="168">
        <f>IFERROR(VLOOKUP($B32,RD[#All],V$2,0)/V$1,"")</f>
        <v>2.3002495611244242</v>
      </c>
      <c r="W32" s="168">
        <f>IFERROR(VLOOKUP($B32,RD[#All],W$2,0)/W$1,"")</f>
        <v>2.2865451245669033</v>
      </c>
      <c r="X32" s="168">
        <f>IFERROR(VLOOKUP($B32,RD[#All],X$2,0)/X$1,"")</f>
        <v>2.3165062173407343</v>
      </c>
      <c r="Y32" s="168">
        <f>IFERROR(VLOOKUP($B32,RD[#All],Y$2,0)/Y$1,"")</f>
        <v>2.3482754035826123</v>
      </c>
      <c r="Z32" s="168">
        <f>IFERROR(VLOOKUP($B32,RD[#All],Z$2,0)/Z$1,"")</f>
        <v>2.360051347420959</v>
      </c>
      <c r="AA32" s="168">
        <f>IFERROR(VLOOKUP($B32,RD[#All],AA$2,0)/AA$1,"")</f>
        <v>2.3523643695014664</v>
      </c>
      <c r="AB32" s="168">
        <f>IFERROR(VLOOKUP($B32,RD[#All],AB$2,0)/AB$1,"")</f>
        <v>2.3075280541547407</v>
      </c>
      <c r="AC32" s="168">
        <f>IFERROR(VLOOKUP($B32,RD[#All],AC$2,0)/AC$1,"")</f>
        <v>2.3408020760262067</v>
      </c>
      <c r="AD32" s="168">
        <f>IFERROR(VLOOKUP($B32,RD[#All],AD$2,0)/AD$1,"")</f>
        <v>2.3223663397658965</v>
      </c>
      <c r="AE32" s="168">
        <f>IFERROR(VLOOKUP($B32,RD[#All],AE$2,0)/AE$1,"")</f>
        <v>2.3717280421501035</v>
      </c>
      <c r="AF32" s="168">
        <f>IFERROR(VLOOKUP($B32,RD[#All],AF$2,0)/AF$1,"")</f>
        <v>2.3462208289794493</v>
      </c>
      <c r="AG32" s="168">
        <f>IFERROR(VLOOKUP($B32,RD[#All],AG$2,0)/AG$1,"")</f>
        <v>2.3840261687338149</v>
      </c>
      <c r="AH32" s="168">
        <f>IFERROR(VLOOKUP($B32,RD[#All],AH$2,0)/AH$1,"")</f>
        <v>2.3620384759659183</v>
      </c>
      <c r="AI32" s="168">
        <f>IFERROR(VLOOKUP($B32,RD[#All],AI$2,0)/AI$1,"")</f>
        <v>2.3948207714324656</v>
      </c>
      <c r="AJ32" s="168">
        <f>IFERROR(VLOOKUP($B32,RD[#All],AJ$2,0)/AJ$1,"")</f>
        <v>2.3590527119938889</v>
      </c>
      <c r="AK32" s="168">
        <f>IFERROR(VLOOKUP($B32,RD[#All],AK$2,0)/AK$1,"")</f>
        <v>2.3789915519897988</v>
      </c>
      <c r="AL32" s="168">
        <f>IFERROR(VLOOKUP($B32,RD[#All],AL$2,0)/AL$1,"")</f>
        <v>2.3954707599178469</v>
      </c>
      <c r="AM32" s="168">
        <f>IFERROR(VLOOKUP($B32,RD[#All],AM$2,0)/AM$1,"")</f>
        <v>2.3497142703292115</v>
      </c>
      <c r="AN32" s="168">
        <f>IFERROR(VLOOKUP($B32,RD[#All],AN$2,0)/AN$1,"")</f>
        <v>2.3626377324708714</v>
      </c>
      <c r="AO32" s="168">
        <f>IFERROR(VLOOKUP($B32,RD[#All],AO$2,0)/AO$1,"")</f>
        <v>2.3863980560959028</v>
      </c>
      <c r="AP32" s="168">
        <f>IFERROR(VLOOKUP($B32,RD[#All],AP$2,0)/AP$1,"")</f>
        <v>2.3586664602502574</v>
      </c>
      <c r="AQ32" s="168">
        <f>IFERROR(VLOOKUP($B32,RD[#All],AQ$2,0)/AQ$1,"")</f>
        <v>2.3546986048960248</v>
      </c>
      <c r="AR32" s="168">
        <f>IFERROR(VLOOKUP($B32,RD[#All],AR$2,0)/AR$1,"")</f>
        <v>2.3433623603456604</v>
      </c>
      <c r="AS32" s="168">
        <f>IFERROR(VLOOKUP($B32,RD[#All],AS$2,0)/AS$1,"")</f>
        <v>2.3447338512191402</v>
      </c>
      <c r="AT32" s="168">
        <f>IFERROR(VLOOKUP($B32,RD[#All],AT$2,0)/AT$1,"")</f>
        <v>2.3574197062705577</v>
      </c>
      <c r="AU32" s="168">
        <f>IFERROR(VLOOKUP($B32,RD[#All],AU$2,0)/AU$1,"")</f>
        <v>2.3287253772322658</v>
      </c>
      <c r="AV32" s="168">
        <f>IFERROR(VLOOKUP($B32,RD[#All],AV$2,0)/AV$1,"")</f>
        <v>2.3303602204101286</v>
      </c>
      <c r="AW32" s="168">
        <f>IFERROR(VLOOKUP($B32,RD[#All],AW$2,0)/AW$1,"")</f>
        <v>2.4550986538816155</v>
      </c>
      <c r="AX32" s="168">
        <f>IFERROR(VLOOKUP($B32,RD[#All],AX$2,0)/AX$1,"")</f>
        <v>2.4751175548589344</v>
      </c>
      <c r="AY32" s="168">
        <f>IFERROR(VLOOKUP($B32,RD[#All],AY$2,0)/AY$1,"")</f>
        <v>2.3515415984830774</v>
      </c>
      <c r="AZ32" s="168">
        <f>IFERROR(VLOOKUP($B32,RD[#All],AZ$2,0)/AZ$1,"")</f>
        <v>2.5230053594903428</v>
      </c>
      <c r="BA32" s="168">
        <f>IFERROR(VLOOKUP($B32,RD[#All],BA$2,0)/BA$1,"")</f>
        <v>2.3721523649181879</v>
      </c>
      <c r="BB32" s="168">
        <f>IFERROR(VLOOKUP($B32,RD[#All],BB$2,0)/BB$1,"")</f>
        <v>2.4615931879321464</v>
      </c>
      <c r="BC32" s="168">
        <f>IFERROR(VLOOKUP($B32,RD[#All],BC$2,0)/BC$1,"")</f>
        <v>2.465651589789521</v>
      </c>
      <c r="BD32" s="168">
        <f>IFERROR(VLOOKUP($B32,RD[#All],BD$2,0)/BD$1,"")</f>
        <v>2.4922170714261083</v>
      </c>
      <c r="BE32" s="168">
        <f>IFERROR(VLOOKUP($B32,RD[#All],BE$2,0)/BE$1,"")</f>
        <v>2.4273203475850451</v>
      </c>
      <c r="BF32" s="168">
        <f>IFERROR(VLOOKUP($B32,RD[#All],BF$2,0)/BF$1,"")</f>
        <v>2.4164436502304265</v>
      </c>
      <c r="BG32" s="168">
        <f>IFERROR(VLOOKUP($B32,RD[#All],BG$2,0)/BG$1,"")</f>
        <v>2.4406114290644503</v>
      </c>
      <c r="BH32" s="168">
        <f>IFERROR(VLOOKUP($B32,RD[#All],BH$2,0)/BH$1,"")</f>
        <v>2.4496707025969919</v>
      </c>
      <c r="BI32" s="168">
        <f>IFERROR(VLOOKUP($B32,RD[#All],BI$2,0)/BI$1,"")</f>
        <v>2.5146610368285245</v>
      </c>
      <c r="BJ32" s="168">
        <f>IFERROR(VLOOKUP($B32,RD[#All],BJ$2,0)/BJ$1,"")</f>
        <v>2.5255771158626179</v>
      </c>
      <c r="BK32" s="168">
        <f>IFERROR(VLOOKUP($B32,RD[#All],BK$2,0)/BK$1,"")</f>
        <v>2.5384393859715022</v>
      </c>
      <c r="BL32" s="168">
        <f>IFERROR(VLOOKUP($B32,RD[#All],BL$2,0)/BL$1,"")</f>
        <v>2.5063463797218959</v>
      </c>
      <c r="BM32" s="168">
        <f>IFERROR(VLOOKUP($B32,RD[#All],BM$2,0)/BM$1,"")</f>
        <v>2.4725107501122472</v>
      </c>
      <c r="BN32" s="168">
        <f>IFERROR(VLOOKUP($B32,RD[#All],BN$2,0)/BN$1,"")</f>
        <v>2.4572141907945073</v>
      </c>
      <c r="BO32" s="168">
        <f>IFERROR(VLOOKUP($B32,RD[#All],BO$2,0)/BO$1,"")</f>
        <v>2.4468866484189093</v>
      </c>
      <c r="BP32" s="168">
        <f>IFERROR(VLOOKUP($B32,RD[#All],BP$2,0)/BP$1,"")</f>
        <v>2.4655502825184854</v>
      </c>
      <c r="BQ32" s="168">
        <f>IFERROR(VLOOKUP($B32,RD[#All],BQ$2,0)/BQ$1,"")</f>
        <v>2.501233909157607</v>
      </c>
      <c r="BR32" s="168">
        <f>IFERROR(VLOOKUP($B32,RD[#All],BR$2,0)/BR$1,"")</f>
        <v>2.6404527631870978</v>
      </c>
      <c r="BS32" s="168">
        <f>IFERROR(VLOOKUP($B32,RD[#All],BS$2,0)/BS$1,"")</f>
        <v>2.4856690671452482</v>
      </c>
      <c r="BT32" s="168">
        <f>IFERROR(VLOOKUP($B32,RD[#All],BT$2,0)/BT$1,"")</f>
        <v>2.5733279341297157</v>
      </c>
      <c r="BU32" s="168">
        <f>IFERROR(VLOOKUP($B32,RD[#All],BU$2,0)/BU$1,"")</f>
        <v>2.4411265944112661</v>
      </c>
      <c r="BV32" s="168">
        <f>IFERROR(VLOOKUP($B32,RD[#All],BV$2,0)/BV$1,"")</f>
        <v>2.311578947368421</v>
      </c>
      <c r="BW32" s="168">
        <f>IFERROR(VLOOKUP($B32,RD[#All],BW$2,0)/BW$1,"")</f>
        <v>2.4340431665045217</v>
      </c>
      <c r="BX32" s="168">
        <f>IFERROR(VLOOKUP($B32,RD[#All],BX$2,0)/BX$1,"")</f>
        <v>2.2961227520211187</v>
      </c>
      <c r="BY32" s="168">
        <f>AVERAGEIF(Inv_SY_B[[#This Row],[IS1Inv1M1]:[IS4Inv4M2]],"&gt;="&amp;0.1,Inv_SY_B[[#This Row],[IS1Inv1M1]:[IS4Inv4M2]])</f>
        <v>2.2921693352936572</v>
      </c>
      <c r="BZ32" s="168">
        <f>AVERAGEIF(Inv_SY_B[[#This Row],[IS5Inv1M1]:[IS9Inv2M2]],"&gt;="&amp;0.1,Inv_SY_B[[#This Row],[IS5Inv1M1]:[IS9Inv2M2]])</f>
        <v>2.3616147750379617</v>
      </c>
      <c r="CA32" s="168">
        <f>AVERAGEIF(Inv_SY_B[[#This Row],[IS10Inv1M1]:[IS14Inv2M4]],"&gt;="&amp;0.1,Inv_SY_B[[#This Row],[IS10Inv1M1]:[IS14Inv2M4]])</f>
        <v>2.4621844440860907</v>
      </c>
    </row>
    <row r="33" spans="2:79">
      <c r="B33" s="173">
        <f t="shared" si="32"/>
        <v>45866</v>
      </c>
      <c r="C33" s="168">
        <f>IFERROR(VLOOKUP($B33,RD[#All],C$2,0)/C$1,"")</f>
        <v>2.2163684258334091</v>
      </c>
      <c r="D33" s="168">
        <f>IFERROR(VLOOKUP($B33,RD[#All],D$2,0)/D$1,"")</f>
        <v>2.2343474461334143</v>
      </c>
      <c r="E33" s="168">
        <f>IFERROR(VLOOKUP($B33,RD[#All],E$2,0)/E$1,"")</f>
        <v>2.2186183586140293</v>
      </c>
      <c r="F33" s="168">
        <f>IFERROR(VLOOKUP($B33,RD[#All],F$2,0)/F$1,"")</f>
        <v>2.1747566408183467</v>
      </c>
      <c r="G33" s="168">
        <f>IFERROR(VLOOKUP($B33,RD[#All],G$2,0)/G$1,"")</f>
        <v>2.1755346077193702</v>
      </c>
      <c r="H33" s="168">
        <f>IFERROR(VLOOKUP($B33,RD[#All],H$2,0)/H$1,"")</f>
        <v>2.1648060267386966</v>
      </c>
      <c r="I33" s="168">
        <f>IFERROR(VLOOKUP($B33,RD[#All],I$2,0)/I$1,"")</f>
        <v>2.2074698528310002</v>
      </c>
      <c r="J33" s="168">
        <f>IFERROR(VLOOKUP($B33,RD[#All],J$2,0)/J$1,"")</f>
        <v>2.2332946676508838</v>
      </c>
      <c r="K33" s="168">
        <f>IFERROR(VLOOKUP($B33,RD[#All],K$2,0)/K$1,"")</f>
        <v>2.1686070358100644</v>
      </c>
      <c r="L33" s="168">
        <f>IFERROR(VLOOKUP($B33,RD[#All],L$2,0)/L$1,"")</f>
        <v>2.2380107738799104</v>
      </c>
      <c r="M33" s="168">
        <f>IFERROR(VLOOKUP($B33,RD[#All],M$2,0)/M$1,"")</f>
        <v>2.2946856729948104</v>
      </c>
      <c r="N33" s="168">
        <f>IFERROR(VLOOKUP($B33,RD[#All],N$2,0)/N$1,"")</f>
        <v>2.210191403204306</v>
      </c>
      <c r="O33" s="168">
        <f>IFERROR(VLOOKUP($B33,RD[#All],O$2,0)/O$1,"")</f>
        <v>2.2596280728405631</v>
      </c>
      <c r="P33" s="168">
        <f>IFERROR(VLOOKUP($B33,RD[#All],P$2,0)/P$1,"")</f>
        <v>2.2209355895060576</v>
      </c>
      <c r="Q33" s="168">
        <f>IFERROR(VLOOKUP($B33,RD[#All],Q$2,0)/Q$1,"")</f>
        <v>2.2313988370801083</v>
      </c>
      <c r="R33" s="168">
        <f>IFERROR(VLOOKUP($B33,RD[#All],R$2,0)/R$1,"")</f>
        <v>2.2303399355017279</v>
      </c>
      <c r="S33" s="168">
        <f>IFERROR(VLOOKUP($B33,RD[#All],S$2,0)/S$1,"")</f>
        <v>2.2540761919480721</v>
      </c>
      <c r="T33" s="168">
        <f>IFERROR(VLOOKUP($B33,RD[#All],T$2,0)/T$1,"")</f>
        <v>2.0380334665354889</v>
      </c>
      <c r="U33" s="168">
        <f>IFERROR(VLOOKUP($B33,RD[#All],U$2,0)/U$1,"")</f>
        <v>2.2494663494541247</v>
      </c>
      <c r="V33" s="168">
        <f>IFERROR(VLOOKUP($B33,RD[#All],V$2,0)/V$1,"")</f>
        <v>2.2647333577027742</v>
      </c>
      <c r="W33" s="168">
        <f>IFERROR(VLOOKUP($B33,RD[#All],W$2,0)/W$1,"")</f>
        <v>2.2360584062035969</v>
      </c>
      <c r="X33" s="168">
        <f>IFERROR(VLOOKUP($B33,RD[#All],X$2,0)/X$1,"")</f>
        <v>2.2604874178114009</v>
      </c>
      <c r="Y33" s="168">
        <f>IFERROR(VLOOKUP($B33,RD[#All],Y$2,0)/Y$1,"")</f>
        <v>2.2777602024675736</v>
      </c>
      <c r="Z33" s="168">
        <f>IFERROR(VLOOKUP($B33,RD[#All],Z$2,0)/Z$1,"")</f>
        <v>2.282850679545414</v>
      </c>
      <c r="AA33" s="168">
        <f>IFERROR(VLOOKUP($B33,RD[#All],AA$2,0)/AA$1,"")</f>
        <v>2.3048478739002931</v>
      </c>
      <c r="AB33" s="168">
        <f>IFERROR(VLOOKUP($B33,RD[#All],AB$2,0)/AB$1,"")</f>
        <v>2.2767252737267727</v>
      </c>
      <c r="AC33" s="168">
        <f>IFERROR(VLOOKUP($B33,RD[#All],AC$2,0)/AC$1,"")</f>
        <v>2.2758804084196429</v>
      </c>
      <c r="AD33" s="168">
        <f>IFERROR(VLOOKUP($B33,RD[#All],AD$2,0)/AD$1,"")</f>
        <v>2.2520902065350019</v>
      </c>
      <c r="AE33" s="168">
        <f>IFERROR(VLOOKUP($B33,RD[#All],AE$2,0)/AE$1,"")</f>
        <v>2.1235356762513313</v>
      </c>
      <c r="AF33" s="168">
        <f>IFERROR(VLOOKUP($B33,RD[#All],AF$2,0)/AF$1,"")</f>
        <v>2.0947940947940946</v>
      </c>
      <c r="AG33" s="168">
        <f>IFERROR(VLOOKUP($B33,RD[#All],AG$2,0)/AG$1,"")</f>
        <v>2.1245195584026169</v>
      </c>
      <c r="AH33" s="168">
        <f>IFERROR(VLOOKUP($B33,RD[#All],AH$2,0)/AH$1,"")</f>
        <v>2.1070682171373454</v>
      </c>
      <c r="AI33" s="168">
        <f>IFERROR(VLOOKUP($B33,RD[#All],AI$2,0)/AI$1,"")</f>
        <v>2.1337876516287313</v>
      </c>
      <c r="AJ33" s="168">
        <f>IFERROR(VLOOKUP($B33,RD[#All],AJ$2,0)/AJ$1,"")</f>
        <v>2.099839308764258</v>
      </c>
      <c r="AK33" s="168">
        <f>IFERROR(VLOOKUP($B33,RD[#All],AK$2,0)/AK$1,"")</f>
        <v>2.1198661070081295</v>
      </c>
      <c r="AL33" s="168">
        <f>IFERROR(VLOOKUP($B33,RD[#All],AL$2,0)/AL$1,"")</f>
        <v>2.1382553237487838</v>
      </c>
      <c r="AM33" s="168">
        <f>IFERROR(VLOOKUP($B33,RD[#All],AM$2,0)/AM$1,"")</f>
        <v>2.0833697927534378</v>
      </c>
      <c r="AN33" s="168">
        <f>IFERROR(VLOOKUP($B33,RD[#All],AN$2,0)/AN$1,"")</f>
        <v>2.1001972174170573</v>
      </c>
      <c r="AO33" s="168">
        <f>IFERROR(VLOOKUP($B33,RD[#All],AO$2,0)/AO$1,"")</f>
        <v>2.1080724521596315</v>
      </c>
      <c r="AP33" s="168">
        <f>IFERROR(VLOOKUP($B33,RD[#All],AP$2,0)/AP$1,"")</f>
        <v>2.0956201579085532</v>
      </c>
      <c r="AQ33" s="168">
        <f>IFERROR(VLOOKUP($B33,RD[#All],AQ$2,0)/AQ$1,"")</f>
        <v>2.0927217688865487</v>
      </c>
      <c r="AR33" s="168">
        <f>IFERROR(VLOOKUP($B33,RD[#All],AR$2,0)/AR$1,"")</f>
        <v>2.0842837876088516</v>
      </c>
      <c r="AS33" s="168">
        <f>IFERROR(VLOOKUP($B33,RD[#All],AS$2,0)/AS$1,"")</f>
        <v>2.1028038478212472</v>
      </c>
      <c r="AT33" s="168">
        <f>IFERROR(VLOOKUP($B33,RD[#All],AT$2,0)/AT$1,"")</f>
        <v>2.1255368628354736</v>
      </c>
      <c r="AU33" s="168">
        <f>IFERROR(VLOOKUP($B33,RD[#All],AU$2,0)/AU$1,"")</f>
        <v>2.0978728714928789</v>
      </c>
      <c r="AV33" s="168">
        <f>IFERROR(VLOOKUP($B33,RD[#All],AV$2,0)/AV$1,"")</f>
        <v>2.0941795294328731</v>
      </c>
      <c r="AW33" s="168">
        <f>IFERROR(VLOOKUP($B33,RD[#All],AW$2,0)/AW$1,"")</f>
        <v>2.4931772081873502</v>
      </c>
      <c r="AX33" s="168">
        <f>IFERROR(VLOOKUP($B33,RD[#All],AX$2,0)/AX$1,"")</f>
        <v>2.5143025078369905</v>
      </c>
      <c r="AY33" s="168">
        <f>IFERROR(VLOOKUP($B33,RD[#All],AY$2,0)/AY$1,"")</f>
        <v>2.3867113431517701</v>
      </c>
      <c r="AZ33" s="168">
        <f>IFERROR(VLOOKUP($B33,RD[#All],AZ$2,0)/AZ$1,"")</f>
        <v>2.5536960258873496</v>
      </c>
      <c r="BA33" s="168">
        <f>IFERROR(VLOOKUP($B33,RD[#All],BA$2,0)/BA$1,"")</f>
        <v>2.3970993142877184</v>
      </c>
      <c r="BB33" s="168">
        <f>IFERROR(VLOOKUP($B33,RD[#All],BB$2,0)/BB$1,"")</f>
        <v>2.4794681962693703</v>
      </c>
      <c r="BC33" s="168">
        <f>IFERROR(VLOOKUP($B33,RD[#All],BC$2,0)/BC$1,"")</f>
        <v>2.4845499328257947</v>
      </c>
      <c r="BD33" s="168">
        <f>IFERROR(VLOOKUP($B33,RD[#All],BD$2,0)/BD$1,"")</f>
        <v>2.5224115628544981</v>
      </c>
      <c r="BE33" s="168">
        <f>IFERROR(VLOOKUP($B33,RD[#All],BE$2,0)/BE$1,"")</f>
        <v>2.4572142920230728</v>
      </c>
      <c r="BF33" s="168">
        <f>IFERROR(VLOOKUP($B33,RD[#All],BF$2,0)/BF$1,"")</f>
        <v>2.4438896346520518</v>
      </c>
      <c r="BG33" s="168">
        <f>IFERROR(VLOOKUP($B33,RD[#All],BG$2,0)/BG$1,"")</f>
        <v>2.4635472088809642</v>
      </c>
      <c r="BH33" s="168">
        <f>IFERROR(VLOOKUP($B33,RD[#All],BH$2,0)/BH$1,"")</f>
        <v>2.4795087860573468</v>
      </c>
      <c r="BI33" s="168">
        <f>IFERROR(VLOOKUP($B33,RD[#All],BI$2,0)/BI$1,"")</f>
        <v>2.5158339197748063</v>
      </c>
      <c r="BJ33" s="168">
        <f>IFERROR(VLOOKUP($B33,RD[#All],BJ$2,0)/BJ$1,"")</f>
        <v>2.5305895439377082</v>
      </c>
      <c r="BK33" s="168">
        <f>IFERROR(VLOOKUP($B33,RD[#All],BK$2,0)/BK$1,"")</f>
        <v>2.5478301154433676</v>
      </c>
      <c r="BL33" s="168">
        <f>IFERROR(VLOOKUP($B33,RD[#All],BL$2,0)/BL$1,"")</f>
        <v>2.5203652483613079</v>
      </c>
      <c r="BM33" s="168">
        <f>IFERROR(VLOOKUP($B33,RD[#All],BM$2,0)/BM$1,"")</f>
        <v>2.5091530388088841</v>
      </c>
      <c r="BN33" s="168">
        <f>IFERROR(VLOOKUP($B33,RD[#All],BN$2,0)/BN$1,"")</f>
        <v>2.4928234894811627</v>
      </c>
      <c r="BO33" s="168">
        <f>IFERROR(VLOOKUP($B33,RD[#All],BO$2,0)/BO$1,"")</f>
        <v>2.4705995626040189</v>
      </c>
      <c r="BP33" s="168">
        <f>IFERROR(VLOOKUP($B33,RD[#All],BP$2,0)/BP$1,"")</f>
        <v>2.4902474097153506</v>
      </c>
      <c r="BQ33" s="168">
        <f>IFERROR(VLOOKUP($B33,RD[#All],BQ$2,0)/BQ$1,"")</f>
        <v>2.5025678650036682</v>
      </c>
      <c r="BR33" s="168">
        <f>IFERROR(VLOOKUP($B33,RD[#All],BR$2,0)/BR$1,"")</f>
        <v>2.6420803432714361</v>
      </c>
      <c r="BS33" s="168">
        <f>IFERROR(VLOOKUP($B33,RD[#All],BS$2,0)/BS$1,"")</f>
        <v>2.4867292154145559</v>
      </c>
      <c r="BT33" s="168">
        <f>IFERROR(VLOOKUP($B33,RD[#All],BT$2,0)/BT$1,"")</f>
        <v>2.5760950259836672</v>
      </c>
      <c r="BU33" s="168">
        <f>IFERROR(VLOOKUP($B33,RD[#All],BU$2,0)/BU$1,"")</f>
        <v>2.4392096143920963</v>
      </c>
      <c r="BV33" s="168">
        <f>IFERROR(VLOOKUP($B33,RD[#All],BV$2,0)/BV$1,"")</f>
        <v>2.2247368421052629</v>
      </c>
      <c r="BW33" s="168">
        <f>IFERROR(VLOOKUP($B33,RD[#All],BW$2,0)/BW$1,"")</f>
        <v>2.4335387165351494</v>
      </c>
      <c r="BX33" s="168">
        <f>IFERROR(VLOOKUP($B33,RD[#All],BX$2,0)/BX$1,"")</f>
        <v>2.2981686190397626</v>
      </c>
      <c r="BY33" s="168">
        <f>AVERAGEIF(Inv_SY_B[[#This Row],[IS1Inv1M1]:[IS4Inv4M2]],"&gt;="&amp;0.1,Inv_SY_B[[#This Row],[IS1Inv1M1]:[IS4Inv4M2]])</f>
        <v>2.2304286850502448</v>
      </c>
      <c r="BZ33" s="168">
        <f>AVERAGEIF(Inv_SY_B[[#This Row],[IS5Inv1M1]:[IS9Inv2M2]],"&gt;="&amp;0.1,Inv_SY_B[[#This Row],[IS5Inv1M1]:[IS9Inv2M2]])</f>
        <v>2.1070180125584357</v>
      </c>
      <c r="CA33" s="168">
        <f>AVERAGEIF(Inv_SY_B[[#This Row],[IS10Inv1M1]:[IS14Inv2M4]],"&gt;="&amp;0.1,Inv_SY_B[[#This Row],[IS10Inv1M1]:[IS14Inv2M4]])</f>
        <v>2.4770051636709458</v>
      </c>
    </row>
    <row r="34" spans="2:79">
      <c r="B34" s="173">
        <f t="shared" si="32"/>
        <v>45867</v>
      </c>
      <c r="C34" s="168">
        <f>IFERROR(VLOOKUP($B34,RD[#All],C$2,0)/C$1,"")</f>
        <v>1.1202746342334327</v>
      </c>
      <c r="D34" s="168">
        <f>IFERROR(VLOOKUP($B34,RD[#All],D$2,0)/D$1,"")</f>
        <v>1.13067364945922</v>
      </c>
      <c r="E34" s="168">
        <f>IFERROR(VLOOKUP($B34,RD[#All],E$2,0)/E$1,"")</f>
        <v>1.1181005344744335</v>
      </c>
      <c r="F34" s="168">
        <f>IFERROR(VLOOKUP($B34,RD[#All],F$2,0)/F$1,"")</f>
        <v>1.1006104603200793</v>
      </c>
      <c r="G34" s="168">
        <f>IFERROR(VLOOKUP($B34,RD[#All],G$2,0)/G$1,"")</f>
        <v>1.1047811905234894</v>
      </c>
      <c r="H34" s="168">
        <f>IFERROR(VLOOKUP($B34,RD[#All],H$2,0)/H$1,"")</f>
        <v>1.0959396334890406</v>
      </c>
      <c r="I34" s="168">
        <f>IFERROR(VLOOKUP($B34,RD[#All],I$2,0)/I$1,"")</f>
        <v>1.1142237307569529</v>
      </c>
      <c r="J34" s="168">
        <f>IFERROR(VLOOKUP($B34,RD[#All],J$2,0)/J$1,"")</f>
        <v>1.1271632277643033</v>
      </c>
      <c r="K34" s="168">
        <f>IFERROR(VLOOKUP($B34,RD[#All],K$2,0)/K$1,"")</f>
        <v>1.1018141662722827</v>
      </c>
      <c r="L34" s="168">
        <f>IFERROR(VLOOKUP($B34,RD[#All],L$2,0)/L$1,"")</f>
        <v>1.1411772434634082</v>
      </c>
      <c r="M34" s="168">
        <f>IFERROR(VLOOKUP($B34,RD[#All],M$2,0)/M$1,"")</f>
        <v>1.1697431518097616</v>
      </c>
      <c r="N34" s="168">
        <f>IFERROR(VLOOKUP($B34,RD[#All],N$2,0)/N$1,"")</f>
        <v>1.1234563243542344</v>
      </c>
      <c r="O34" s="168">
        <f>IFERROR(VLOOKUP($B34,RD[#All],O$2,0)/O$1,"")</f>
        <v>1.1509272431172877</v>
      </c>
      <c r="P34" s="168">
        <f>IFERROR(VLOOKUP($B34,RD[#All],P$2,0)/P$1,"")</f>
        <v>1.1409734414104815</v>
      </c>
      <c r="Q34" s="168">
        <f>IFERROR(VLOOKUP($B34,RD[#All],Q$2,0)/Q$1,"")</f>
        <v>1.1369949261138477</v>
      </c>
      <c r="R34" s="168">
        <f>IFERROR(VLOOKUP($B34,RD[#All],R$2,0)/R$1,"")</f>
        <v>1.1332899911813739</v>
      </c>
      <c r="S34" s="168">
        <f>IFERROR(VLOOKUP($B34,RD[#All],S$2,0)/S$1,"")</f>
        <v>1.1898798619981181</v>
      </c>
      <c r="T34" s="168">
        <f>IFERROR(VLOOKUP($B34,RD[#All],T$2,0)/T$1,"")</f>
        <v>1.0831076184345305</v>
      </c>
      <c r="U34" s="168">
        <f>IFERROR(VLOOKUP($B34,RD[#All],U$2,0)/U$1,"")</f>
        <v>1.1814129749960034</v>
      </c>
      <c r="V34" s="168">
        <f>IFERROR(VLOOKUP($B34,RD[#All],V$2,0)/V$1,"")</f>
        <v>1.1901312790797376</v>
      </c>
      <c r="W34" s="168">
        <f>IFERROR(VLOOKUP($B34,RD[#All],W$2,0)/W$1,"")</f>
        <v>1.2089589176703515</v>
      </c>
      <c r="X34" s="168">
        <f>IFERROR(VLOOKUP($B34,RD[#All],X$2,0)/X$1,"")</f>
        <v>1.2130850692266217</v>
      </c>
      <c r="Y34" s="168">
        <f>IFERROR(VLOOKUP($B34,RD[#All],Y$2,0)/Y$1,"")</f>
        <v>1.2304856745938957</v>
      </c>
      <c r="Z34" s="168">
        <f>IFERROR(VLOOKUP($B34,RD[#All],Z$2,0)/Z$1,"")</f>
        <v>1.2303632022118889</v>
      </c>
      <c r="AA34" s="168">
        <f>IFERROR(VLOOKUP($B34,RD[#All],AA$2,0)/AA$1,"")</f>
        <v>1.234100073313783</v>
      </c>
      <c r="AB34" s="168">
        <f>IFERROR(VLOOKUP($B34,RD[#All],AB$2,0)/AB$1,"")</f>
        <v>1.2166643950751894</v>
      </c>
      <c r="AC34" s="168">
        <f>IFERROR(VLOOKUP($B34,RD[#All],AC$2,0)/AC$1,"")</f>
        <v>1.2209491584482988</v>
      </c>
      <c r="AD34" s="168">
        <f>IFERROR(VLOOKUP($B34,RD[#All],AD$2,0)/AD$1,"")</f>
        <v>1.2087946852261939</v>
      </c>
      <c r="AE34" s="168">
        <f>IFERROR(VLOOKUP($B34,RD[#All],AE$2,0)/AE$1,"")</f>
        <v>1.2036320834033969</v>
      </c>
      <c r="AF34" s="168">
        <f>IFERROR(VLOOKUP($B34,RD[#All],AF$2,0)/AF$1,"")</f>
        <v>1.1859175307451169</v>
      </c>
      <c r="AG34" s="168">
        <f>IFERROR(VLOOKUP($B34,RD[#All],AG$2,0)/AG$1,"")</f>
        <v>1.2022897642088048</v>
      </c>
      <c r="AH34" s="168">
        <f>IFERROR(VLOOKUP($B34,RD[#All],AH$2,0)/AH$1,"")</f>
        <v>1.1906114356143831</v>
      </c>
      <c r="AI34" s="168">
        <f>IFERROR(VLOOKUP($B34,RD[#All],AI$2,0)/AI$1,"")</f>
        <v>1.2124846667575304</v>
      </c>
      <c r="AJ34" s="168">
        <f>IFERROR(VLOOKUP($B34,RD[#All],AJ$2,0)/AJ$1,"")</f>
        <v>1.193856853086062</v>
      </c>
      <c r="AK34" s="168">
        <f>IFERROR(VLOOKUP($B34,RD[#All],AK$2,0)/AK$1,"")</f>
        <v>1.2060464374900379</v>
      </c>
      <c r="AL34" s="168">
        <f>IFERROR(VLOOKUP($B34,RD[#All],AL$2,0)/AL$1,"")</f>
        <v>1.2160306993838503</v>
      </c>
      <c r="AM34" s="168">
        <f>IFERROR(VLOOKUP($B34,RD[#All],AM$2,0)/AM$1,"")</f>
        <v>1.1530824476498818</v>
      </c>
      <c r="AN34" s="168">
        <f>IFERROR(VLOOKUP($B34,RD[#All],AN$2,0)/AN$1,"")</f>
        <v>1.1567171713772237</v>
      </c>
      <c r="AO34" s="168">
        <f>IFERROR(VLOOKUP($B34,RD[#All],AO$2,0)/AO$1,"")</f>
        <v>1.1524766603619916</v>
      </c>
      <c r="AP34" s="168">
        <f>IFERROR(VLOOKUP($B34,RD[#All],AP$2,0)/AP$1,"")</f>
        <v>1.1529478282525729</v>
      </c>
      <c r="AQ34" s="168">
        <f>IFERROR(VLOOKUP($B34,RD[#All],AQ$2,0)/AQ$1,"")</f>
        <v>1.1526717557251906</v>
      </c>
      <c r="AR34" s="168">
        <f>IFERROR(VLOOKUP($B34,RD[#All],AR$2,0)/AR$1,"")</f>
        <v>1.1476714564012056</v>
      </c>
      <c r="AS34" s="168">
        <f>IFERROR(VLOOKUP($B34,RD[#All],AS$2,0)/AS$1,"")</f>
        <v>1.199995313250612</v>
      </c>
      <c r="AT34" s="168">
        <f>IFERROR(VLOOKUP($B34,RD[#All],AT$2,0)/AT$1,"")</f>
        <v>1.2182858100605476</v>
      </c>
      <c r="AU34" s="168">
        <f>IFERROR(VLOOKUP($B34,RD[#All],AU$2,0)/AU$1,"")</f>
        <v>1.200816139358988</v>
      </c>
      <c r="AV34" s="168">
        <f>IFERROR(VLOOKUP($B34,RD[#All],AV$2,0)/AV$1,"")</f>
        <v>1.1967684513213745</v>
      </c>
      <c r="AW34" s="168">
        <f>IFERROR(VLOOKUP($B34,RD[#All],AW$2,0)/AW$1,"")</f>
        <v>1.322884012539185</v>
      </c>
      <c r="AX34" s="168">
        <f>IFERROR(VLOOKUP($B34,RD[#All],AX$2,0)/AX$1,"")</f>
        <v>1.3220023510971788</v>
      </c>
      <c r="AY34" s="168">
        <f>IFERROR(VLOOKUP($B34,RD[#All],AY$2,0)/AY$1,"")</f>
        <v>1.2507857346944076</v>
      </c>
      <c r="AZ34" s="168">
        <f>IFERROR(VLOOKUP($B34,RD[#All],AZ$2,0)/AZ$1,"")</f>
        <v>1.3488724845788251</v>
      </c>
      <c r="BA34" s="168">
        <f>IFERROR(VLOOKUP($B34,RD[#All],BA$2,0)/BA$1,"")</f>
        <v>1.2765472369828659</v>
      </c>
      <c r="BB34" s="168">
        <f>IFERROR(VLOOKUP($B34,RD[#All],BB$2,0)/BB$1,"")</f>
        <v>1.344049445296694</v>
      </c>
      <c r="BC34" s="168">
        <f>IFERROR(VLOOKUP($B34,RD[#All],BC$2,0)/BC$1,"")</f>
        <v>1.3555306762203314</v>
      </c>
      <c r="BD34" s="168">
        <f>IFERROR(VLOOKUP($B34,RD[#All],BD$2,0)/BD$1,"")</f>
        <v>1.3742693419369214</v>
      </c>
      <c r="BE34" s="168">
        <f>IFERROR(VLOOKUP($B34,RD[#All],BE$2,0)/BE$1,"")</f>
        <v>1.3093547663856184</v>
      </c>
      <c r="BF34" s="168">
        <f>IFERROR(VLOOKUP($B34,RD[#All],BF$2,0)/BF$1,"")</f>
        <v>1.2885932436707508</v>
      </c>
      <c r="BG34" s="168">
        <f>IFERROR(VLOOKUP($B34,RD[#All],BG$2,0)/BG$1,"")</f>
        <v>1.3250266026286275</v>
      </c>
      <c r="BH34" s="168">
        <f>IFERROR(VLOOKUP($B34,RD[#All],BH$2,0)/BH$1,"")</f>
        <v>1.3317132092835986</v>
      </c>
      <c r="BI34" s="168">
        <f>IFERROR(VLOOKUP($B34,RD[#All],BI$2,0)/BI$1,"")</f>
        <v>1.3587197331039693</v>
      </c>
      <c r="BJ34" s="168">
        <f>IFERROR(VLOOKUP($B34,RD[#All],BJ$2,0)/BJ$1,"")</f>
        <v>1.3722380148038287</v>
      </c>
      <c r="BK34" s="168">
        <f>IFERROR(VLOOKUP($B34,RD[#All],BK$2,0)/BK$1,"")</f>
        <v>1.386697718678787</v>
      </c>
      <c r="BL34" s="168">
        <f>IFERROR(VLOOKUP($B34,RD[#All],BL$2,0)/BL$1,"")</f>
        <v>1.3590093332828148</v>
      </c>
      <c r="BM34" s="168">
        <f>IFERROR(VLOOKUP($B34,RD[#All],BM$2,0)/BM$1,"")</f>
        <v>1.4200694877612947</v>
      </c>
      <c r="BN34" s="168">
        <f>IFERROR(VLOOKUP($B34,RD[#All],BN$2,0)/BN$1,"")</f>
        <v>1.3266908664162318</v>
      </c>
      <c r="BO34" s="168">
        <f>IFERROR(VLOOKUP($B34,RD[#All],BO$2,0)/BO$1,"")</f>
        <v>1.3903690356656533</v>
      </c>
      <c r="BP34" s="168">
        <f>IFERROR(VLOOKUP($B34,RD[#All],BP$2,0)/BP$1,"")</f>
        <v>1.4094012250885073</v>
      </c>
      <c r="BQ34" s="168">
        <f>IFERROR(VLOOKUP($B34,RD[#All],BQ$2,0)/BQ$1,"")</f>
        <v>1.4273327552858002</v>
      </c>
      <c r="BR34" s="168">
        <f>IFERROR(VLOOKUP($B34,RD[#All],BR$2,0)/BR$1,"")</f>
        <v>1.5104682991788119</v>
      </c>
      <c r="BS34" s="168">
        <f>IFERROR(VLOOKUP($B34,RD[#All],BS$2,0)/BS$1,"")</f>
        <v>1.4379396775634765</v>
      </c>
      <c r="BT34" s="168">
        <f>IFERROR(VLOOKUP($B34,RD[#All],BT$2,0)/BT$1,"")</f>
        <v>1.4790443409597085</v>
      </c>
      <c r="BU34" s="168">
        <f>IFERROR(VLOOKUP($B34,RD[#All],BU$2,0)/BU$1,"")</f>
        <v>1.3947504239475044</v>
      </c>
      <c r="BV34" s="168">
        <f>IFERROR(VLOOKUP($B34,RD[#All],BV$2,0)/BV$1,"")</f>
        <v>1.0710526315789475</v>
      </c>
      <c r="BW34" s="168">
        <f>IFERROR(VLOOKUP($B34,RD[#All],BW$2,0)/BW$1,"")</f>
        <v>1.3675638669693366</v>
      </c>
      <c r="BX34" s="168">
        <f>IFERROR(VLOOKUP($B34,RD[#All],BX$2,0)/BX$1,"")</f>
        <v>1.263157894736842</v>
      </c>
      <c r="BY34" s="168">
        <f>AVERAGEIF(Inv_SY_B[[#This Row],[IS1Inv1M1]:[IS4Inv4M2]],"&gt;="&amp;0.1,Inv_SY_B[[#This Row],[IS1Inv1M1]:[IS4Inv4M2]])</f>
        <v>1.1577884449649374</v>
      </c>
      <c r="BZ34" s="168">
        <f>AVERAGEIF(Inv_SY_B[[#This Row],[IS5Inv1M1]:[IS9Inv2M2]],"&gt;="&amp;0.1,Inv_SY_B[[#This Row],[IS5Inv1M1]:[IS9Inv2M2]])</f>
        <v>1.1856834724693759</v>
      </c>
      <c r="CA34" s="168">
        <f>AVERAGEIF(Inv_SY_B[[#This Row],[IS10Inv1M1]:[IS14Inv2M4]],"&gt;="&amp;0.1,Inv_SY_B[[#This Row],[IS10Inv1M1]:[IS14Inv2M4]])</f>
        <v>1.3508619432263045</v>
      </c>
    </row>
    <row r="35" spans="2:79">
      <c r="B35" s="175">
        <f>B34+1</f>
        <v>45868</v>
      </c>
      <c r="C35" s="176">
        <f>IFERROR(VLOOKUP($B35,RD[#All],C$2,0)/C$1,"")</f>
        <v>3.2122933900476411</v>
      </c>
      <c r="D35" s="176">
        <f>IFERROR(VLOOKUP($B35,RD[#All],D$2,0)/D$1,"")</f>
        <v>3.2301471210075769</v>
      </c>
      <c r="E35" s="176">
        <f>IFERROR(VLOOKUP($B35,RD[#All],E$2,0)/E$1,"")</f>
        <v>3.2133069148670477</v>
      </c>
      <c r="F35" s="176">
        <f>IFERROR(VLOOKUP($B35,RD[#All],F$2,0)/F$1,"")</f>
        <v>3.1879887807292526</v>
      </c>
      <c r="G35" s="176">
        <f>IFERROR(VLOOKUP($B35,RD[#All],G$2,0)/G$1,"")</f>
        <v>3.2095047068548981</v>
      </c>
      <c r="H35" s="176">
        <f>IFERROR(VLOOKUP($B35,RD[#All],H$2,0)/H$1,"")</f>
        <v>3.1707286852441547</v>
      </c>
      <c r="I35" s="176">
        <f>IFERROR(VLOOKUP($B35,RD[#All],I$2,0)/I$1,"")</f>
        <v>3.2156980266715309</v>
      </c>
      <c r="J35" s="176">
        <f>IFERROR(VLOOKUP($B35,RD[#All],J$2,0)/J$1,"")</f>
        <v>3.2329783120672078</v>
      </c>
      <c r="K35" s="176">
        <f>IFERROR(VLOOKUP($B35,RD[#All],K$2,0)/K$1,"")</f>
        <v>3.1523584161539673</v>
      </c>
      <c r="L35" s="176">
        <f>IFERROR(VLOOKUP($B35,RD[#All],L$2,0)/L$1,"")</f>
        <v>3.2527263171725136</v>
      </c>
      <c r="M35" s="176">
        <f>IFERROR(VLOOKUP($B35,RD[#All],M$2,0)/M$1,"")</f>
        <v>3.323129475136307</v>
      </c>
      <c r="N35" s="176">
        <f>IFERROR(VLOOKUP($B35,RD[#All],N$2,0)/N$1,"")</f>
        <v>3.1792172841369255</v>
      </c>
      <c r="O35" s="176">
        <f>IFERROR(VLOOKUP($B35,RD[#All],O$2,0)/O$1,"")</f>
        <v>3.2706803215901852</v>
      </c>
      <c r="P35" s="176">
        <f>IFERROR(VLOOKUP($B35,RD[#All],P$2,0)/P$1,"")</f>
        <v>3.1965559747487955</v>
      </c>
      <c r="Q35" s="176">
        <f>IFERROR(VLOOKUP($B35,RD[#All],Q$2,0)/Q$1,"")</f>
        <v>3.2263002604841797</v>
      </c>
      <c r="R35" s="176">
        <f>IFERROR(VLOOKUP($B35,RD[#All],R$2,0)/R$1,"")</f>
        <v>3.2238836713806616</v>
      </c>
      <c r="S35" s="176">
        <f>IFERROR(VLOOKUP($B35,RD[#All],S$2,0)/S$1,"")</f>
        <v>3.1839070532779994</v>
      </c>
      <c r="T35" s="176">
        <f>IFERROR(VLOOKUP($B35,RD[#All],T$2,0)/T$1,"")</f>
        <v>2.8676926066730637</v>
      </c>
      <c r="U35" s="176">
        <f>IFERROR(VLOOKUP($B35,RD[#All],U$2,0)/U$1,"")</f>
        <v>3.201527133896918</v>
      </c>
      <c r="V35" s="176">
        <f>IFERROR(VLOOKUP($B35,RD[#All],V$2,0)/V$1,"")</f>
        <v>3.2154574459923557</v>
      </c>
      <c r="W35" s="176">
        <f>IFERROR(VLOOKUP($B35,RD[#All],W$2,0)/W$1,"")</f>
        <v>3.1866441181323211</v>
      </c>
      <c r="X35" s="176">
        <f>IFERROR(VLOOKUP($B35,RD[#All],X$2,0)/X$1,"")</f>
        <v>3.2290836585837281</v>
      </c>
      <c r="Y35" s="176">
        <f>IFERROR(VLOOKUP($B35,RD[#All],Y$2,0)/Y$1,"")</f>
        <v>3.2813868295210189</v>
      </c>
      <c r="Z35" s="176">
        <f>IFERROR(VLOOKUP($B35,RD[#All],Z$2,0)/Z$1,"")</f>
        <v>3.3056248765686997</v>
      </c>
      <c r="AA35" s="176">
        <f>IFERROR(VLOOKUP($B35,RD[#All],AA$2,0)/AA$1,"")</f>
        <v>3.2810208944281523</v>
      </c>
      <c r="AB35" s="176">
        <f>IFERROR(VLOOKUP($B35,RD[#All],AB$2,0)/AB$1,"")</f>
        <v>3.2266593975739397</v>
      </c>
      <c r="AC35" s="176">
        <f>IFERROR(VLOOKUP($B35,RD[#All],AC$2,0)/AC$1,"")</f>
        <v>3.2701997625040691</v>
      </c>
      <c r="AD35" s="176">
        <f>IFERROR(VLOOKUP($B35,RD[#All],AD$2,0)/AD$1,"")</f>
        <v>3.2490622316626743</v>
      </c>
      <c r="AE35" s="176">
        <f>IFERROR(VLOOKUP($B35,RD[#All],AE$2,0)/AE$1,"")</f>
        <v>3.3647777590942214</v>
      </c>
      <c r="AF35" s="176">
        <f>IFERROR(VLOOKUP($B35,RD[#All],AF$2,0)/AF$1,"")</f>
        <v>3.339656512070305</v>
      </c>
      <c r="AG35" s="176">
        <f>IFERROR(VLOOKUP($B35,RD[#All],AG$2,0)/AG$1,"")</f>
        <v>3.4211803189314436</v>
      </c>
      <c r="AH35" s="176">
        <f>IFERROR(VLOOKUP($B35,RD[#All],AH$2,0)/AH$1,"")</f>
        <v>3.3906543057713954</v>
      </c>
      <c r="AI35" s="176">
        <f>IFERROR(VLOOKUP($B35,RD[#All],AI$2,0)/AI$1,"")</f>
        <v>3.430502930353005</v>
      </c>
      <c r="AJ35" s="176">
        <f>IFERROR(VLOOKUP($B35,RD[#All],AJ$2,0)/AJ$1,"")</f>
        <v>3.3877927346487184</v>
      </c>
      <c r="AK35" s="176">
        <f>IFERROR(VLOOKUP($B35,RD[#All],AK$2,0)/AK$1,"")</f>
        <v>3.4137931034482762</v>
      </c>
      <c r="AL35" s="176">
        <f>IFERROR(VLOOKUP($B35,RD[#All],AL$2,0)/AL$1,"")</f>
        <v>3.4449248729867041</v>
      </c>
      <c r="AM35" s="176">
        <f>IFERROR(VLOOKUP($B35,RD[#All],AM$2,0)/AM$1,"")</f>
        <v>3.4468623583972211</v>
      </c>
      <c r="AN35" s="176">
        <f>IFERROR(VLOOKUP($B35,RD[#All],AN$2,0)/AN$1,"")</f>
        <v>3.4609973951146618</v>
      </c>
      <c r="AO35" s="176">
        <f>IFERROR(VLOOKUP($B35,RD[#All],AO$2,0)/AO$1,"")</f>
        <v>3.4494874366447461</v>
      </c>
      <c r="AP35" s="176">
        <f>IFERROR(VLOOKUP($B35,RD[#All],AP$2,0)/AP$1,"")</f>
        <v>3.4420160600940988</v>
      </c>
      <c r="AQ35" s="176">
        <f>IFERROR(VLOOKUP($B35,RD[#All],AQ$2,0)/AQ$1,"")</f>
        <v>3.4501184522242694</v>
      </c>
      <c r="AR35" s="176">
        <f>IFERROR(VLOOKUP($B35,RD[#All],AR$2,0)/AR$1,"")</f>
        <v>3.4420153515709555</v>
      </c>
      <c r="AS35" s="176">
        <f>IFERROR(VLOOKUP($B35,RD[#All],AS$2,0)/AS$1,"")</f>
        <v>3.3802242609582058</v>
      </c>
      <c r="AT35" s="176">
        <f>IFERROR(VLOOKUP($B35,RD[#All],AT$2,0)/AT$1,"")</f>
        <v>3.4549873247993963</v>
      </c>
      <c r="AU35" s="176">
        <f>IFERROR(VLOOKUP($B35,RD[#All],AU$2,0)/AU$1,"")</f>
        <v>3.4446769545115496</v>
      </c>
      <c r="AV35" s="176">
        <f>IFERROR(VLOOKUP($B35,RD[#All],AV$2,0)/AV$1,"")</f>
        <v>3.4461983030119883</v>
      </c>
      <c r="AW35" s="176">
        <f>IFERROR(VLOOKUP($B35,RD[#All],AW$2,0)/AW$1,"")</f>
        <v>3.4706804351834784</v>
      </c>
      <c r="AX35" s="176">
        <f>IFERROR(VLOOKUP($B35,RD[#All],AX$2,0)/AX$1,"")</f>
        <v>3.5024980407523514</v>
      </c>
      <c r="AY35" s="176">
        <f>IFERROR(VLOOKUP($B35,RD[#All],AY$2,0)/AY$1,"")</f>
        <v>3.3284500896127174</v>
      </c>
      <c r="AZ35" s="176">
        <f>IFERROR(VLOOKUP($B35,RD[#All],AZ$2,0)/AZ$1,"")</f>
        <v>3.5703306704419049</v>
      </c>
      <c r="BA35" s="176">
        <f>IFERROR(VLOOKUP($B35,RD[#All],BA$2,0)/BA$1,"")</f>
        <v>3.3326756808894968</v>
      </c>
      <c r="BB35" s="176">
        <f>IFERROR(VLOOKUP($B35,RD[#All],BB$2,0)/BB$1,"")</f>
        <v>3.4313346228239845</v>
      </c>
      <c r="BC35" s="176">
        <f>IFERROR(VLOOKUP($B35,RD[#All],BC$2,0)/BC$1,"")</f>
        <v>3.4418719211822659</v>
      </c>
      <c r="BD35" s="176">
        <f>IFERROR(VLOOKUP($B35,RD[#All],BD$2,0)/BD$1,"")</f>
        <v>3.4815176998075157</v>
      </c>
      <c r="BE35" s="176">
        <f>IFERROR(VLOOKUP($B35,RD[#All],BE$2,0)/BE$1,"")</f>
        <v>3.42496280242141</v>
      </c>
      <c r="BF35" s="176">
        <f>IFERROR(VLOOKUP($B35,RD[#All],BF$2,0)/BF$1,"")</f>
        <v>3.4207443761382392</v>
      </c>
      <c r="BG35" s="176">
        <f>IFERROR(VLOOKUP($B35,RD[#All],BG$2,0)/BG$1,"")</f>
        <v>3.4405107704696443</v>
      </c>
      <c r="BH35" s="176">
        <f>IFERROR(VLOOKUP($B35,RD[#All],BH$2,0)/BH$1,"")</f>
        <v>3.4543153777573266</v>
      </c>
      <c r="BI35" s="176">
        <f>IFERROR(VLOOKUP($B35,RD[#All],BI$2,0)/BI$1,"")</f>
        <v>3.5595694216383871</v>
      </c>
      <c r="BJ35" s="176">
        <f>IFERROR(VLOOKUP($B35,RD[#All],BJ$2,0)/BJ$1,"")</f>
        <v>3.5742045345308227</v>
      </c>
      <c r="BK35" s="176">
        <f>IFERROR(VLOOKUP($B35,RD[#All],BK$2,0)/BK$1,"")</f>
        <v>3.5853805123582001</v>
      </c>
      <c r="BL35" s="176">
        <f>IFERROR(VLOOKUP($B35,RD[#All],BL$2,0)/BL$1,"")</f>
        <v>3.5354071155230558</v>
      </c>
      <c r="BM35" s="176">
        <f>IFERROR(VLOOKUP($B35,RD[#All],BM$2,0)/BM$1,"")</f>
        <v>3.3450552497009252</v>
      </c>
      <c r="BN35" s="176">
        <f>IFERROR(VLOOKUP($B35,RD[#All],BN$2,0)/BN$1,"")</f>
        <v>3.2494204140803427</v>
      </c>
      <c r="BO35" s="176">
        <f>IFERROR(VLOOKUP($B35,RD[#All],BO$2,0)/BO$1,"")</f>
        <v>3.3919920773558174</v>
      </c>
      <c r="BP35" s="176">
        <f>IFERROR(VLOOKUP($B35,RD[#All],BP$2,0)/BP$1,"")</f>
        <v>3.4384505965882446</v>
      </c>
      <c r="BQ35" s="176">
        <f>IFERROR(VLOOKUP($B35,RD[#All],BQ$2,0)/BQ$1,"")</f>
        <v>3.4903621690122062</v>
      </c>
      <c r="BR35" s="176">
        <f>IFERROR(VLOOKUP($B35,RD[#All],BR$2,0)/BR$1,"")</f>
        <v>3.682621883554043</v>
      </c>
      <c r="BS35" s="176">
        <f>IFERROR(VLOOKUP($B35,RD[#All],BS$2,0)/BS$1,"")</f>
        <v>3.5295364880316833</v>
      </c>
      <c r="BT35" s="176">
        <f>IFERROR(VLOOKUP($B35,RD[#All],BT$2,0)/BT$1,"")</f>
        <v>3.5942498481473986</v>
      </c>
      <c r="BU35" s="176">
        <f>IFERROR(VLOOKUP($B35,RD[#All],BU$2,0)/BU$1,"")</f>
        <v>3.4123718941237189</v>
      </c>
      <c r="BV35" s="176">
        <f>IFERROR(VLOOKUP($B35,RD[#All],BV$2,0)/BV$1,"")</f>
        <v>3.4715789473684211</v>
      </c>
      <c r="BW35" s="176">
        <f>IFERROR(VLOOKUP($B35,RD[#All],BW$2,0)/BW$1,"")</f>
        <v>3.395380679566173</v>
      </c>
      <c r="BX35" s="176">
        <f>IFERROR(VLOOKUP($B35,RD[#All],BX$2,0)/BX$1,"")</f>
        <v>3.3043392179508331</v>
      </c>
      <c r="BY35" s="168">
        <f>AVERAGEIF(Inv_SY_B[[#This Row],[IS1Inv1M1]:[IS4Inv4M2]],"&gt;="&amp;0.1,Inv_SY_B[[#This Row],[IS1Inv1M1]:[IS4Inv4M2]])</f>
        <v>3.2141344166824211</v>
      </c>
      <c r="BZ35" s="176">
        <f>AVERAGEIF(Inv_SY_B[[#This Row],[IS5Inv1M1]:[IS9Inv2M2]],"&gt;="&amp;0.1,Inv_SY_B[[#This Row],[IS5Inv1M1]:[IS9Inv2M2]])</f>
        <v>3.4228259130350649</v>
      </c>
      <c r="CA35" s="176">
        <f>AVERAGEIF(Inv_SY_B[[#This Row],[IS10Inv1M1]:[IS14Inv2M4]],"&gt;="&amp;0.1,Inv_SY_B[[#This Row],[IS10Inv1M1]:[IS14Inv2M4]])</f>
        <v>3.4592790548932362</v>
      </c>
    </row>
  </sheetData>
  <phoneticPr fontId="10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C10" activePane="bottomRight" state="frozen"/>
      <selection pane="topRight" activeCell="C2" sqref="C2"/>
      <selection pane="bottomLeft" activeCell="A4" sqref="A4"/>
      <selection pane="bottomRight" activeCell="BN31" sqref="BN31"/>
    </sheetView>
  </sheetViews>
  <sheetFormatPr defaultColWidth="8.85546875" defaultRowHeight="15"/>
  <cols>
    <col min="1" max="1" width="1.140625" style="138" customWidth="1"/>
    <col min="2" max="2" width="10.140625" style="138" bestFit="1" customWidth="1"/>
    <col min="3" max="49" width="12.7109375" style="138" bestFit="1" customWidth="1"/>
    <col min="50" max="50" width="12.85546875" style="138" customWidth="1"/>
    <col min="51" max="72" width="12.7109375" style="138" bestFit="1" customWidth="1"/>
    <col min="73" max="73" width="11.140625" style="138" customWidth="1"/>
    <col min="74" max="74" width="14.42578125" style="138" customWidth="1"/>
    <col min="75" max="75" width="11.28515625" style="138" customWidth="1"/>
    <col min="76" max="16384" width="8.85546875" style="138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 ht="24">
      <c r="A3"/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</row>
    <row r="4" spans="1:76">
      <c r="A4"/>
      <c r="B4" s="173">
        <f>O2Summary!B5-31</f>
        <v>45837</v>
      </c>
      <c r="C4" s="177">
        <f>IFERROR(Inv_SY_B!C4/Inv_SY_B!$BY4-1,"")</f>
        <v>-5.4668025264813513E-3</v>
      </c>
      <c r="D4" s="177">
        <f>IFERROR(Inv_SY_B!D4/Inv_SY_B!$BY4-1,"")</f>
        <v>-1.2573282688947196E-2</v>
      </c>
      <c r="E4" s="177">
        <f>IFERROR(Inv_SY_B!E4/Inv_SY_B!$BY4-1,"")</f>
        <v>-2.1724939094206031E-2</v>
      </c>
      <c r="F4" s="177">
        <f>IFERROR(Inv_SY_B!F4/Inv_SY_B!$BY4-1,"")</f>
        <v>-1.0674219962308884E-2</v>
      </c>
      <c r="G4" s="177">
        <f>IFERROR(Inv_SY_B!G4/Inv_SY_B!$BY4-1,"")</f>
        <v>-2.9783178034199498E-3</v>
      </c>
      <c r="H4" s="177">
        <f>IFERROR(Inv_SY_B!H4/Inv_SY_B!$BY4-1,"")</f>
        <v>-9.0293211306518018E-3</v>
      </c>
      <c r="I4" s="177">
        <f>IFERROR(Inv_SY_B!I4/Inv_SY_B!$BY4-1,"")</f>
        <v>4.4122040358718362E-3</v>
      </c>
      <c r="J4" s="177">
        <f>IFERROR(Inv_SY_B!J4/Inv_SY_B!$BY4-1,"")</f>
        <v>1.1593588575724567E-3</v>
      </c>
      <c r="K4" s="177">
        <f>IFERROR(Inv_SY_B!K4/Inv_SY_B!$BY4-1,"")</f>
        <v>-9.5758269051228195E-3</v>
      </c>
      <c r="L4" s="177">
        <f>IFERROR(Inv_SY_B!L4/Inv_SY_B!$BY4-1,"")</f>
        <v>1.02134425370346E-2</v>
      </c>
      <c r="M4" s="177">
        <f>IFERROR(Inv_SY_B!M4/Inv_SY_B!$BY4-1,"")</f>
        <v>3.4463984585091589E-2</v>
      </c>
      <c r="N4" s="177">
        <f>IFERROR(Inv_SY_B!N4/Inv_SY_B!$BY4-1,"")</f>
        <v>-3.5973293428565034E-3</v>
      </c>
      <c r="O4" s="177">
        <f>IFERROR(Inv_SY_B!O4/Inv_SY_B!$BY4-1,"")</f>
        <v>5.8634437611388757E-2</v>
      </c>
      <c r="P4" s="177">
        <f>IFERROR(Inv_SY_B!P4/Inv_SY_B!$BY4-1,"")</f>
        <v>-2.5898386119959427E-2</v>
      </c>
      <c r="Q4" s="177">
        <f>IFERROR(Inv_SY_B!Q4/Inv_SY_B!$BY4-1,"")</f>
        <v>-2.926701396293363E-3</v>
      </c>
      <c r="R4" s="177">
        <f>IFERROR(Inv_SY_B!R4/Inv_SY_B!$BY4-1,"")</f>
        <v>-1.0869026959651529E-2</v>
      </c>
      <c r="S4" s="177">
        <f>IFERROR(Inv_SY_B!S4/Inv_SY_B!$BY4-1,"")</f>
        <v>-8.8695217350746036E-3</v>
      </c>
      <c r="T4" s="177">
        <f>IFERROR(Inv_SY_B!T4/Inv_SY_B!$BY4-1,"")</f>
        <v>1.6398921445670567E-3</v>
      </c>
      <c r="U4" s="177">
        <f>IFERROR(Inv_SY_B!U4/Inv_SY_B!$BY4-1,"")</f>
        <v>2.8064958116869043E-4</v>
      </c>
      <c r="V4" s="177">
        <f>IFERROR(Inv_SY_B!V4/Inv_SY_B!$BY4-1,"")</f>
        <v>4.6947426237360368E-3</v>
      </c>
      <c r="W4" s="177">
        <f>IFERROR(Inv_SY_B!W4/Inv_SY_B!$BY4-1,"")</f>
        <v>-1.0749995527569167E-2</v>
      </c>
      <c r="X4" s="177">
        <f>IFERROR(Inv_SY_B!X4/Inv_SY_B!$BY4-1,"")</f>
        <v>-2.4388963886365689E-2</v>
      </c>
      <c r="Y4" s="177">
        <f>IFERROR(Inv_SY_B!Y4/Inv_SY_B!$BY4-1,"")</f>
        <v>3.8792425572193867E-3</v>
      </c>
      <c r="Z4" s="177">
        <f>IFERROR(Inv_SY_B!Z4/Inv_SY_B!$BY4-1,"")</f>
        <v>2.2669506127092509E-2</v>
      </c>
      <c r="AA4" s="177">
        <f>IFERROR(Inv_SY_B!AA4/Inv_SY_B!$BY4-1,"")</f>
        <v>6.496469655000503E-3</v>
      </c>
      <c r="AB4" s="177">
        <f>IFERROR(Inv_SY_B!AB4/Inv_SY_B!$BY4-1,"")</f>
        <v>-2.9308357499910898E-3</v>
      </c>
      <c r="AC4" s="177">
        <f>IFERROR(Inv_SY_B!AC4/Inv_SY_B!$BY4-1,"")</f>
        <v>1.2070479402350065E-2</v>
      </c>
      <c r="AD4" s="177">
        <f>IFERROR(Inv_SY_B!AD4/Inv_SY_B!$BY4-1,"")</f>
        <v>1.6390611108112463E-3</v>
      </c>
      <c r="AE4" s="177">
        <f>IFERROR(Inv_SY_B!AE4/Inv_SY_B!$BZ4-1,"")</f>
        <v>5.6908797996508831E-3</v>
      </c>
      <c r="AF4" s="177">
        <f>IFERROR(Inv_SY_B!AF4/Inv_SY_B!$BZ4-1,"")</f>
        <v>-1.5738922167688463E-3</v>
      </c>
      <c r="AG4" s="177">
        <f>IFERROR(Inv_SY_B!AG4/Inv_SY_B!$BZ4-1,"")</f>
        <v>1.0578525661479876E-3</v>
      </c>
      <c r="AH4" s="177">
        <f>IFERROR(Inv_SY_B!AH4/Inv_SY_B!$BZ4-1,"")</f>
        <v>-5.5882781891413158E-3</v>
      </c>
      <c r="AI4" s="177">
        <f>IFERROR(Inv_SY_B!AI4/Inv_SY_B!$BZ4-1,"")</f>
        <v>3.547478055097919E-3</v>
      </c>
      <c r="AJ4" s="177">
        <f>IFERROR(Inv_SY_B!AJ4/Inv_SY_B!$BZ4-1,"")</f>
        <v>7.0737597205823288E-3</v>
      </c>
      <c r="AK4" s="177">
        <f>IFERROR(Inv_SY_B!AK4/Inv_SY_B!$BZ4-1,"")</f>
        <v>-3.6242770367299615E-3</v>
      </c>
      <c r="AL4" s="177">
        <f>IFERROR(Inv_SY_B!AL4/Inv_SY_B!$BZ4-1,"")</f>
        <v>-4.0631757171629146E-2</v>
      </c>
      <c r="AM4" s="177">
        <f>IFERROR(Inv_SY_B!AM4/Inv_SY_B!$BZ4-1,"")</f>
        <v>2.300112852304359E-3</v>
      </c>
      <c r="AN4" s="177">
        <f>IFERROR(Inv_SY_B!AN4/Inv_SY_B!$BZ4-1,"")</f>
        <v>8.9270302909079113E-3</v>
      </c>
      <c r="AO4" s="177">
        <f>IFERROR(Inv_SY_B!AO4/Inv_SY_B!$BZ4-1,"")</f>
        <v>-1.0925522376228236E-2</v>
      </c>
      <c r="AP4" s="177">
        <f>IFERROR(Inv_SY_B!AP4/Inv_SY_B!$BZ4-1,"")</f>
        <v>-1.3519890054319972E-2</v>
      </c>
      <c r="AQ4" s="177">
        <f>IFERROR(Inv_SY_B!AQ4/Inv_SY_B!$BZ4-1,"")</f>
        <v>-9.4926088922914209E-3</v>
      </c>
      <c r="AR4" s="177">
        <f>IFERROR(Inv_SY_B!AR4/Inv_SY_B!$BZ4-1,"")</f>
        <v>-7.4891242937358271E-5</v>
      </c>
      <c r="AS4" s="177">
        <f>IFERROR(Inv_SY_B!AS4/Inv_SY_B!$BZ4-1,"")</f>
        <v>-3.1545347465693485E-3</v>
      </c>
      <c r="AT4" s="177">
        <f>IFERROR(Inv_SY_B!AT4/Inv_SY_B!$BZ4-1,"")</f>
        <v>1.5544309949686363E-2</v>
      </c>
      <c r="AU4" s="177">
        <f>IFERROR(Inv_SY_B!AU4/Inv_SY_B!$BZ4-1,"")</f>
        <v>2.4630871341981164E-2</v>
      </c>
      <c r="AV4" s="177">
        <f>IFERROR(Inv_SY_B!AV4/Inv_SY_B!$BZ4-1,"")</f>
        <v>1.981335735025902E-2</v>
      </c>
      <c r="AW4" s="177">
        <f>IFERROR(Inv_SY_B!AW4/Inv_SY_B!$CA4-1,"")</f>
        <v>7.8177189491640098E-2</v>
      </c>
      <c r="AX4" s="177">
        <f>IFERROR(Inv_SY_B!AX4/Inv_SY_B!$CA4-1,"")</f>
        <v>9.0367899060284529E-2</v>
      </c>
      <c r="AY4" s="177">
        <f>IFERROR(Inv_SY_B!AY4/Inv_SY_B!$CA4-1,"")</f>
        <v>3.306594168184751E-2</v>
      </c>
      <c r="AZ4" s="177">
        <f>IFERROR(Inv_SY_B!AZ4/Inv_SY_B!$CA4-1,"")</f>
        <v>9.8610184726370953E-2</v>
      </c>
      <c r="BA4" s="177">
        <f>IFERROR(Inv_SY_B!BA4/Inv_SY_B!$CA4-1,"")</f>
        <v>5.0052702446234498E-2</v>
      </c>
      <c r="BB4" s="177">
        <f>IFERROR(Inv_SY_B!BB4/Inv_SY_B!$CA4-1,"")</f>
        <v>7.5436923597208994E-2</v>
      </c>
      <c r="BC4" s="177">
        <f>IFERROR(Inv_SY_B!BC4/Inv_SY_B!$CA4-1,"")</f>
        <v>7.1335513987597299E-2</v>
      </c>
      <c r="BD4" s="177">
        <f>IFERROR(Inv_SY_B!BD4/Inv_SY_B!$CA4-1,"")</f>
        <v>8.9228163777866021E-2</v>
      </c>
      <c r="BE4" s="177">
        <f>IFERROR(Inv_SY_B!BE4/Inv_SY_B!$CA4-1,"")</f>
        <v>6.581891949384211E-2</v>
      </c>
      <c r="BF4" s="177">
        <f>IFERROR(Inv_SY_B!BF4/Inv_SY_B!$CA4-1,"")</f>
        <v>6.3672330253306431E-2</v>
      </c>
      <c r="BG4" s="177">
        <f>IFERROR(Inv_SY_B!BG4/Inv_SY_B!$CA4-1,"")</f>
        <v>8.5543012510447936E-2</v>
      </c>
      <c r="BH4" s="177">
        <f>IFERROR(Inv_SY_B!BH4/Inv_SY_B!$CA4-1,"")</f>
        <v>7.3072836268568198E-2</v>
      </c>
      <c r="BI4" s="177">
        <f>IFERROR(Inv_SY_B!BI4/Inv_SY_B!$CA4-1,"")</f>
        <v>8.9043207095071963E-2</v>
      </c>
      <c r="BJ4" s="177">
        <f>IFERROR(Inv_SY_B!BJ4/Inv_SY_B!$CA4-1,"")</f>
        <v>8.9300747364552624E-2</v>
      </c>
      <c r="BK4" s="177">
        <f>IFERROR(Inv_SY_B!BK4/Inv_SY_B!$CA4-1,"")</f>
        <v>8.4308482968775911E-2</v>
      </c>
      <c r="BL4" s="177">
        <f>IFERROR(Inv_SY_B!BL4/Inv_SY_B!$CA4-1,"")</f>
        <v>8.8644818855973195E-2</v>
      </c>
      <c r="BM4" s="177">
        <f>IFERROR(Inv_SY_B!BM4/Inv_SY_B!$CA4-1,"")</f>
        <v>9.0407388674459632E-2</v>
      </c>
      <c r="BN4" s="177">
        <f>IFERROR(Inv_SY_B!BN4/Inv_SY_B!$CA4-1,"")</f>
        <v>7.598464941385763E-2</v>
      </c>
      <c r="BO4" s="177">
        <f>IFERROR(Inv_SY_B!BO4/Inv_SY_B!$CA4-1,"")</f>
        <v>5.9908046954644245E-3</v>
      </c>
      <c r="BP4" s="177">
        <f>IFERROR(Inv_SY_B!BP4/Inv_SY_B!$CA4-1,"")</f>
        <v>6.4579089515186094E-2</v>
      </c>
      <c r="BQ4" s="177">
        <f>IFERROR(Inv_SY_B!BQ4/Inv_SY_B!$CA4-1,"")</f>
        <v>-0.13597628168028908</v>
      </c>
      <c r="BR4" s="177">
        <f>IFERROR(Inv_SY_B!BR4/Inv_SY_B!$CA4-1,"")</f>
        <v>-0.23366003150150771</v>
      </c>
      <c r="BS4" s="177">
        <f>IFERROR(Inv_SY_B!BS4/Inv_SY_B!$CA4-1,"")</f>
        <v>1.4208115669760435E-2</v>
      </c>
      <c r="BT4" s="177">
        <f>IFERROR(Inv_SY_B!BT4/Inv_SY_B!$CA4-1,"")</f>
        <v>-0.18663493229640926</v>
      </c>
      <c r="BU4" s="177">
        <f>IFERROR(Inv_SY_B!BU4/Inv_SY_B!$CA4-1,"")</f>
        <v>-0.77432534584087809</v>
      </c>
      <c r="BV4" s="177">
        <f>IFERROR(Inv_SY_B!BV4/Inv_SY_B!$CA4-1,"")</f>
        <v>-0.27724605967551808</v>
      </c>
      <c r="BW4" s="177">
        <f>IFERROR(Inv_SY_B!BW4/Inv_SY_B!$CA4-1,"")</f>
        <v>7.1527257606614159E-2</v>
      </c>
      <c r="BX4" s="177">
        <f>IFERROR(Inv_SY_B!BX4/Inv_SY_B!$CA4-1,"")</f>
        <v>5.9466471839674018E-2</v>
      </c>
    </row>
    <row r="5" spans="1:76">
      <c r="A5"/>
      <c r="B5" s="173">
        <f>B4+1</f>
        <v>45838</v>
      </c>
      <c r="C5" s="177">
        <f>IFERROR(Inv_SY_B!C5/Inv_SY_B!$BY5-1,"")</f>
        <v>6.290327338413837E-3</v>
      </c>
      <c r="D5" s="177">
        <f>IFERROR(Inv_SY_B!D5/Inv_SY_B!$BY5-1,"")</f>
        <v>5.2052718465036563E-3</v>
      </c>
      <c r="E5" s="177">
        <f>IFERROR(Inv_SY_B!E5/Inv_SY_B!$BY5-1,"")</f>
        <v>-7.3136207870742043E-3</v>
      </c>
      <c r="F5" s="177">
        <f>IFERROR(Inv_SY_B!F5/Inv_SY_B!$BY5-1,"")</f>
        <v>-1.3792051030412589E-2</v>
      </c>
      <c r="G5" s="177">
        <f>IFERROR(Inv_SY_B!G5/Inv_SY_B!$BY5-1,"")</f>
        <v>-1.0623145394865086E-2</v>
      </c>
      <c r="H5" s="177">
        <f>IFERROR(Inv_SY_B!H5/Inv_SY_B!$BY5-1,"")</f>
        <v>-1.3583650227088295E-2</v>
      </c>
      <c r="I5" s="177">
        <f>IFERROR(Inv_SY_B!I5/Inv_SY_B!$BY5-1,"")</f>
        <v>7.4929423115415172E-3</v>
      </c>
      <c r="J5" s="177">
        <f>IFERROR(Inv_SY_B!J5/Inv_SY_B!$BY5-1,"")</f>
        <v>1.0207669935049513E-2</v>
      </c>
      <c r="K5" s="177">
        <f>IFERROR(Inv_SY_B!K5/Inv_SY_B!$BY5-1,"")</f>
        <v>-4.0834706548951161E-3</v>
      </c>
      <c r="L5" s="177">
        <f>IFERROR(Inv_SY_B!L5/Inv_SY_B!$BY5-1,"")</f>
        <v>7.3591607348972854E-3</v>
      </c>
      <c r="M5" s="177">
        <f>IFERROR(Inv_SY_B!M5/Inv_SY_B!$BY5-1,"")</f>
        <v>3.2816006732212966E-2</v>
      </c>
      <c r="N5" s="177">
        <f>IFERROR(Inv_SY_B!N5/Inv_SY_B!$BY5-1,"")</f>
        <v>9.6780809107244181E-4</v>
      </c>
      <c r="O5" s="177">
        <f>IFERROR(Inv_SY_B!O5/Inv_SY_B!$BY5-1,"")</f>
        <v>6.4050064552752417E-2</v>
      </c>
      <c r="P5" s="177">
        <f>IFERROR(Inv_SY_B!P5/Inv_SY_B!$BY5-1,"")</f>
        <v>-2.7566255564859699E-2</v>
      </c>
      <c r="Q5" s="177">
        <f>IFERROR(Inv_SY_B!Q5/Inv_SY_B!$BY5-1,"")</f>
        <v>7.9288106301800276E-4</v>
      </c>
      <c r="R5" s="177">
        <f>IFERROR(Inv_SY_B!R5/Inv_SY_B!$BY5-1,"")</f>
        <v>2.6021362202024445E-3</v>
      </c>
      <c r="S5" s="177">
        <f>IFERROR(Inv_SY_B!S5/Inv_SY_B!$BY5-1,"")</f>
        <v>6.1164090473586619E-4</v>
      </c>
      <c r="T5" s="177">
        <f>IFERROR(Inv_SY_B!T5/Inv_SY_B!$BY5-1,"")</f>
        <v>9.1545677325106656E-3</v>
      </c>
      <c r="U5" s="177">
        <f>IFERROR(Inv_SY_B!U5/Inv_SY_B!$BY5-1,"")</f>
        <v>8.8544710042237629E-3</v>
      </c>
      <c r="V5" s="177">
        <f>IFERROR(Inv_SY_B!V5/Inv_SY_B!$BY5-1,"")</f>
        <v>1.5291576925857253E-2</v>
      </c>
      <c r="W5" s="177">
        <f>IFERROR(Inv_SY_B!W5/Inv_SY_B!$BY5-1,"")</f>
        <v>-1.8461866863169418E-2</v>
      </c>
      <c r="X5" s="177">
        <f>IFERROR(Inv_SY_B!X5/Inv_SY_B!$BY5-1,"")</f>
        <v>-3.7638979778931603E-2</v>
      </c>
      <c r="Y5" s="177">
        <f>IFERROR(Inv_SY_B!Y5/Inv_SY_B!$BY5-1,"")</f>
        <v>-1.1663123775097262E-2</v>
      </c>
      <c r="Z5" s="177">
        <f>IFERROR(Inv_SY_B!Z5/Inv_SY_B!$BY5-1,"")</f>
        <v>-1.4814899986818064E-3</v>
      </c>
      <c r="AA5" s="177">
        <f>IFERROR(Inv_SY_B!AA5/Inv_SY_B!$BY5-1,"")</f>
        <v>-1.5239570411471615E-3</v>
      </c>
      <c r="AB5" s="177">
        <f>IFERROR(Inv_SY_B!AB5/Inv_SY_B!$BY5-1,"")</f>
        <v>-2.0124168248026875E-3</v>
      </c>
      <c r="AC5" s="177">
        <f>IFERROR(Inv_SY_B!AC5/Inv_SY_B!$BY5-1,"")</f>
        <v>-4.3895707963055308E-3</v>
      </c>
      <c r="AD5" s="177">
        <f>IFERROR(Inv_SY_B!AD5/Inv_SY_B!$BY5-1,"")</f>
        <v>-1.7562926655661504E-2</v>
      </c>
      <c r="AE5" s="177">
        <f>IFERROR(Inv_SY_B!AE5/Inv_SY_B!$BZ5-1,"")</f>
        <v>1.8910883084422014E-2</v>
      </c>
      <c r="AF5" s="177">
        <f>IFERROR(Inv_SY_B!AF5/Inv_SY_B!$BZ5-1,"")</f>
        <v>9.8118664794335508E-3</v>
      </c>
      <c r="AG5" s="177">
        <f>IFERROR(Inv_SY_B!AG5/Inv_SY_B!$BZ5-1,"")</f>
        <v>6.7949860633549353E-3</v>
      </c>
      <c r="AH5" s="177">
        <f>IFERROR(Inv_SY_B!AH5/Inv_SY_B!$BZ5-1,"")</f>
        <v>4.8865745389650161E-3</v>
      </c>
      <c r="AI5" s="177">
        <f>IFERROR(Inv_SY_B!AI5/Inv_SY_B!$BZ5-1,"")</f>
        <v>7.2428386405054557E-3</v>
      </c>
      <c r="AJ5" s="177">
        <f>IFERROR(Inv_SY_B!AJ5/Inv_SY_B!$BZ5-1,"")</f>
        <v>6.2353585152681301E-3</v>
      </c>
      <c r="AK5" s="177">
        <f>IFERROR(Inv_SY_B!AK5/Inv_SY_B!$BZ5-1,"")</f>
        <v>-4.2625720711586546E-4</v>
      </c>
      <c r="AL5" s="177">
        <f>IFERROR(Inv_SY_B!AL5/Inv_SY_B!$BZ5-1,"")</f>
        <v>-3.9357187211531808E-2</v>
      </c>
      <c r="AM5" s="177">
        <f>IFERROR(Inv_SY_B!AM5/Inv_SY_B!$BZ5-1,"")</f>
        <v>-1.5717751518561363E-3</v>
      </c>
      <c r="AN5" s="177">
        <f>IFERROR(Inv_SY_B!AN5/Inv_SY_B!$BZ5-1,"")</f>
        <v>4.7316427820580653E-3</v>
      </c>
      <c r="AO5" s="177">
        <f>IFERROR(Inv_SY_B!AO5/Inv_SY_B!$BZ5-1,"")</f>
        <v>-1.2740989385633839E-2</v>
      </c>
      <c r="AP5" s="177">
        <f>IFERROR(Inv_SY_B!AP5/Inv_SY_B!$BZ5-1,"")</f>
        <v>-9.2851681499354077E-3</v>
      </c>
      <c r="AQ5" s="177">
        <f>IFERROR(Inv_SY_B!AQ5/Inv_SY_B!$BZ5-1,"")</f>
        <v>-1.1377401466971748E-2</v>
      </c>
      <c r="AR5" s="177">
        <f>IFERROR(Inv_SY_B!AR5/Inv_SY_B!$BZ5-1,"")</f>
        <v>-2.8627244572505539E-3</v>
      </c>
      <c r="AS5" s="177">
        <f>IFERROR(Inv_SY_B!AS5/Inv_SY_B!$BZ5-1,"")</f>
        <v>-2.9164223953286328E-3</v>
      </c>
      <c r="AT5" s="177">
        <f>IFERROR(Inv_SY_B!AT5/Inv_SY_B!$BZ5-1,"")</f>
        <v>8.5515456705824722E-3</v>
      </c>
      <c r="AU5" s="177">
        <f>IFERROR(Inv_SY_B!AU5/Inv_SY_B!$BZ5-1,"")</f>
        <v>8.4210648513771691E-3</v>
      </c>
      <c r="AV5" s="177">
        <f>IFERROR(Inv_SY_B!AV5/Inv_SY_B!$BZ5-1,"")</f>
        <v>4.9511647996569597E-3</v>
      </c>
      <c r="AW5" s="177">
        <f>IFERROR(Inv_SY_B!AW5/Inv_SY_B!$CA5-1,"")</f>
        <v>2.7612172769595711E-2</v>
      </c>
      <c r="AX5" s="177">
        <f>IFERROR(Inv_SY_B!AX5/Inv_SY_B!$CA5-1,"")</f>
        <v>4.3875211649233137E-2</v>
      </c>
      <c r="AY5" s="177">
        <f>IFERROR(Inv_SY_B!AY5/Inv_SY_B!$CA5-1,"")</f>
        <v>3.734438249812122E-3</v>
      </c>
      <c r="AZ5" s="177">
        <f>IFERROR(Inv_SY_B!AZ5/Inv_SY_B!$CA5-1,"")</f>
        <v>-1.5236222074336281E-3</v>
      </c>
      <c r="BA5" s="177">
        <f>IFERROR(Inv_SY_B!BA5/Inv_SY_B!$CA5-1,"")</f>
        <v>2.1006699697466491E-2</v>
      </c>
      <c r="BB5" s="177">
        <f>IFERROR(Inv_SY_B!BB5/Inv_SY_B!$CA5-1,"")</f>
        <v>4.8957208241601879E-2</v>
      </c>
      <c r="BC5" s="177">
        <f>IFERROR(Inv_SY_B!BC5/Inv_SY_B!$CA5-1,"")</f>
        <v>3.9329602237990091E-2</v>
      </c>
      <c r="BD5" s="177">
        <f>IFERROR(Inv_SY_B!BD5/Inv_SY_B!$CA5-1,"")</f>
        <v>5.4537980193936964E-2</v>
      </c>
      <c r="BE5" s="177">
        <f>IFERROR(Inv_SY_B!BE5/Inv_SY_B!$CA5-1,"")</f>
        <v>4.2737944610165446E-2</v>
      </c>
      <c r="BF5" s="177">
        <f>IFERROR(Inv_SY_B!BF5/Inv_SY_B!$CA5-1,"")</f>
        <v>4.2194406721233868E-2</v>
      </c>
      <c r="BG5" s="177">
        <f>IFERROR(Inv_SY_B!BG5/Inv_SY_B!$CA5-1,"")</f>
        <v>6.414419432159657E-2</v>
      </c>
      <c r="BH5" s="177">
        <f>IFERROR(Inv_SY_B!BH5/Inv_SY_B!$CA5-1,"")</f>
        <v>0.20583152607253297</v>
      </c>
      <c r="BI5" s="177">
        <f>IFERROR(Inv_SY_B!BI5/Inv_SY_B!$CA5-1,"")</f>
        <v>6.5383714722297315E-2</v>
      </c>
      <c r="BJ5" s="177">
        <f>IFERROR(Inv_SY_B!BJ5/Inv_SY_B!$CA5-1,"")</f>
        <v>7.8940257475052178E-2</v>
      </c>
      <c r="BK5" s="177">
        <f>IFERROR(Inv_SY_B!BK5/Inv_SY_B!$CA5-1,"")</f>
        <v>7.9522677709949363E-2</v>
      </c>
      <c r="BL5" s="177">
        <f>IFERROR(Inv_SY_B!BL5/Inv_SY_B!$CA5-1,"")</f>
        <v>6.420004075160235E-2</v>
      </c>
      <c r="BM5" s="177">
        <f>IFERROR(Inv_SY_B!BM5/Inv_SY_B!$CA5-1,"")</f>
        <v>6.8049698961366811E-2</v>
      </c>
      <c r="BN5" s="177">
        <f>IFERROR(Inv_SY_B!BN5/Inv_SY_B!$CA5-1,"")</f>
        <v>4.9045212678671568E-2</v>
      </c>
      <c r="BO5" s="177">
        <f>IFERROR(Inv_SY_B!BO5/Inv_SY_B!$CA5-1,"")</f>
        <v>-1.4763384324498752E-2</v>
      </c>
      <c r="BP5" s="177">
        <f>IFERROR(Inv_SY_B!BP5/Inv_SY_B!$CA5-1,"")</f>
        <v>3.8251007811709092E-2</v>
      </c>
      <c r="BQ5" s="177">
        <f>IFERROR(Inv_SY_B!BQ5/Inv_SY_B!$CA5-1,"")</f>
        <v>3.2344406565796069E-2</v>
      </c>
      <c r="BR5" s="177">
        <f>IFERROR(Inv_SY_B!BR5/Inv_SY_B!$CA5-1,"")</f>
        <v>-0.2152146500950024</v>
      </c>
      <c r="BS5" s="177">
        <f>IFERROR(Inv_SY_B!BS5/Inv_SY_B!$CA5-1,"")</f>
        <v>1.632548933607092E-2</v>
      </c>
      <c r="BT5" s="177">
        <f>IFERROR(Inv_SY_B!BT5/Inv_SY_B!$CA5-1,"")</f>
        <v>-1.229376328771814E-2</v>
      </c>
      <c r="BU5" s="177">
        <f>IFERROR(Inv_SY_B!BU5/Inv_SY_B!$CA5-1,"")</f>
        <v>-0.75545545070304931</v>
      </c>
      <c r="BV5" s="177">
        <f>IFERROR(Inv_SY_B!BV5/Inv_SY_B!$CA5-1,"")</f>
        <v>-0.19538002959977896</v>
      </c>
      <c r="BW5" s="177">
        <f>IFERROR(Inv_SY_B!BW5/Inv_SY_B!$CA5-1,"")</f>
        <v>6.2212122501524192E-2</v>
      </c>
      <c r="BX5" s="177">
        <f>IFERROR(Inv_SY_B!BX5/Inv_SY_B!$CA5-1,"")</f>
        <v>4.6394886938278423E-2</v>
      </c>
    </row>
    <row r="6" spans="1:76">
      <c r="A6"/>
      <c r="B6" s="173">
        <f t="shared" ref="B6:B34" si="1">B5+1</f>
        <v>45839</v>
      </c>
      <c r="C6" s="177">
        <f>IFERROR(Inv_SY_B!C6/Inv_SY_B!$BY6-1,"")</f>
        <v>1.0823307557739525E-2</v>
      </c>
      <c r="D6" s="177">
        <f>IFERROR(Inv_SY_B!D6/Inv_SY_B!$BY6-1,"")</f>
        <v>4.0973574623215381E-3</v>
      </c>
      <c r="E6" s="177">
        <f>IFERROR(Inv_SY_B!E6/Inv_SY_B!$BY6-1,"")</f>
        <v>-2.4369650328348591E-3</v>
      </c>
      <c r="F6" s="177">
        <f>IFERROR(Inv_SY_B!F6/Inv_SY_B!$BY6-1,"")</f>
        <v>-7.370508765783379E-3</v>
      </c>
      <c r="G6" s="177">
        <f>IFERROR(Inv_SY_B!G6/Inv_SY_B!$BY6-1,"")</f>
        <v>-4.7413513449041655E-3</v>
      </c>
      <c r="H6" s="177">
        <f>IFERROR(Inv_SY_B!H6/Inv_SY_B!$BY6-1,"")</f>
        <v>-4.0385295976189672E-3</v>
      </c>
      <c r="I6" s="177">
        <f>IFERROR(Inv_SY_B!I6/Inv_SY_B!$BY6-1,"")</f>
        <v>1.6549597540881589E-2</v>
      </c>
      <c r="J6" s="177">
        <f>IFERROR(Inv_SY_B!J6/Inv_SY_B!$BY6-1,"")</f>
        <v>1.3366068747276749E-2</v>
      </c>
      <c r="K6" s="177">
        <f>IFERROR(Inv_SY_B!K6/Inv_SY_B!$BY6-1,"")</f>
        <v>4.6436122018143067E-3</v>
      </c>
      <c r="L6" s="177">
        <f>IFERROR(Inv_SY_B!L6/Inv_SY_B!$BY6-1,"")</f>
        <v>1.3373878964109132E-2</v>
      </c>
      <c r="M6" s="177">
        <f>IFERROR(Inv_SY_B!M6/Inv_SY_B!$BY6-1,"")</f>
        <v>3.7692186789333171E-2</v>
      </c>
      <c r="N6" s="177">
        <f>IFERROR(Inv_SY_B!N6/Inv_SY_B!$BY6-1,"")</f>
        <v>6.5304183396515114E-3</v>
      </c>
      <c r="O6" s="177">
        <f>IFERROR(Inv_SY_B!O6/Inv_SY_B!$BY6-1,"")</f>
        <v>6.7717067565921552E-2</v>
      </c>
      <c r="P6" s="177">
        <f>IFERROR(Inv_SY_B!P6/Inv_SY_B!$BY6-1,"")</f>
        <v>-2.5257016174685565E-2</v>
      </c>
      <c r="Q6" s="177">
        <f>IFERROR(Inv_SY_B!Q6/Inv_SY_B!$BY6-1,"")</f>
        <v>3.7996531886619334E-3</v>
      </c>
      <c r="R6" s="177">
        <f>IFERROR(Inv_SY_B!R6/Inv_SY_B!$BY6-1,"")</f>
        <v>6.9556948517011108E-3</v>
      </c>
      <c r="S6" s="177">
        <f>IFERROR(Inv_SY_B!S6/Inv_SY_B!$BY6-1,"")</f>
        <v>-3.1266778741224632E-3</v>
      </c>
      <c r="T6" s="177">
        <f>IFERROR(Inv_SY_B!T6/Inv_SY_B!$BY6-1,"")</f>
        <v>-1.489984464774774E-3</v>
      </c>
      <c r="U6" s="177">
        <f>IFERROR(Inv_SY_B!U6/Inv_SY_B!$BY6-1,"")</f>
        <v>7.8266961554598335E-3</v>
      </c>
      <c r="V6" s="177">
        <f>IFERROR(Inv_SY_B!V6/Inv_SY_B!$BY6-1,"")</f>
        <v>1.3311169382010712E-2</v>
      </c>
      <c r="W6" s="177">
        <f>IFERROR(Inv_SY_B!W6/Inv_SY_B!$BY6-1,"")</f>
        <v>-3.0251079000079728E-2</v>
      </c>
      <c r="X6" s="177">
        <f>IFERROR(Inv_SY_B!X6/Inv_SY_B!$BY6-1,"")</f>
        <v>-4.333881483689983E-2</v>
      </c>
      <c r="Y6" s="177">
        <f>IFERROR(Inv_SY_B!Y6/Inv_SY_B!$BY6-1,"")</f>
        <v>-2.3831340814838842E-2</v>
      </c>
      <c r="Z6" s="177">
        <f>IFERROR(Inv_SY_B!Z6/Inv_SY_B!$BY6-1,"")</f>
        <v>-6.3011834424033797E-3</v>
      </c>
      <c r="AA6" s="177">
        <f>IFERROR(Inv_SY_B!AA6/Inv_SY_B!$BY6-1,"")</f>
        <v>-9.7514266509721725E-3</v>
      </c>
      <c r="AB6" s="177">
        <f>IFERROR(Inv_SY_B!AB6/Inv_SY_B!$BY6-1,"")</f>
        <v>-1.2578639540814618E-2</v>
      </c>
      <c r="AC6" s="177">
        <f>IFERROR(Inv_SY_B!AC6/Inv_SY_B!$BY6-1,"")</f>
        <v>-9.9331042017701821E-3</v>
      </c>
      <c r="AD6" s="177">
        <f>IFERROR(Inv_SY_B!AD6/Inv_SY_B!$BY6-1,"")</f>
        <v>-2.2240087004375408E-2</v>
      </c>
      <c r="AE6" s="177">
        <f>IFERROR(Inv_SY_B!AE6/Inv_SY_B!$BZ6-1,"")</f>
        <v>1.4258984916512008E-2</v>
      </c>
      <c r="AF6" s="177">
        <f>IFERROR(Inv_SY_B!AF6/Inv_SY_B!$BZ6-1,"")</f>
        <v>3.9166235213090594E-3</v>
      </c>
      <c r="AG6" s="177">
        <f>IFERROR(Inv_SY_B!AG6/Inv_SY_B!$BZ6-1,"")</f>
        <v>8.6520277519475108E-4</v>
      </c>
      <c r="AH6" s="177">
        <f>IFERROR(Inv_SY_B!AH6/Inv_SY_B!$BZ6-1,"")</f>
        <v>-3.5821805829258091E-3</v>
      </c>
      <c r="AI6" s="177">
        <f>IFERROR(Inv_SY_B!AI6/Inv_SY_B!$BZ6-1,"")</f>
        <v>5.5003148982935013E-3</v>
      </c>
      <c r="AJ6" s="177">
        <f>IFERROR(Inv_SY_B!AJ6/Inv_SY_B!$BZ6-1,"")</f>
        <v>5.1607988093937962E-3</v>
      </c>
      <c r="AK6" s="177">
        <f>IFERROR(Inv_SY_B!AK6/Inv_SY_B!$BZ6-1,"")</f>
        <v>-7.8712738877251276E-4</v>
      </c>
      <c r="AL6" s="177">
        <f>IFERROR(Inv_SY_B!AL6/Inv_SY_B!$BZ6-1,"")</f>
        <v>-3.6971011063663073E-2</v>
      </c>
      <c r="AM6" s="177">
        <f>IFERROR(Inv_SY_B!AM6/Inv_SY_B!$BZ6-1,"")</f>
        <v>3.5934911022097449E-3</v>
      </c>
      <c r="AN6" s="177">
        <f>IFERROR(Inv_SY_B!AN6/Inv_SY_B!$BZ6-1,"")</f>
        <v>7.3931386433774282E-3</v>
      </c>
      <c r="AO6" s="177">
        <f>IFERROR(Inv_SY_B!AO6/Inv_SY_B!$BZ6-1,"")</f>
        <v>-1.1164895993667434E-2</v>
      </c>
      <c r="AP6" s="177">
        <f>IFERROR(Inv_SY_B!AP6/Inv_SY_B!$BZ6-1,"")</f>
        <v>-5.3264131865071729E-3</v>
      </c>
      <c r="AQ6" s="177">
        <f>IFERROR(Inv_SY_B!AQ6/Inv_SY_B!$BZ6-1,"")</f>
        <v>-1.0434020064833627E-2</v>
      </c>
      <c r="AR6" s="177">
        <f>IFERROR(Inv_SY_B!AR6/Inv_SY_B!$BZ6-1,"")</f>
        <v>-2.2940115480679646E-3</v>
      </c>
      <c r="AS6" s="177">
        <f>IFERROR(Inv_SY_B!AS6/Inv_SY_B!$BZ6-1,"")</f>
        <v>-1.3524006091234497E-3</v>
      </c>
      <c r="AT6" s="177">
        <f>IFERROR(Inv_SY_B!AT6/Inv_SY_B!$BZ6-1,"")</f>
        <v>1.1532614358207294E-2</v>
      </c>
      <c r="AU6" s="177">
        <f>IFERROR(Inv_SY_B!AU6/Inv_SY_B!$BZ6-1,"")</f>
        <v>1.329815141699453E-2</v>
      </c>
      <c r="AV6" s="177">
        <f>IFERROR(Inv_SY_B!AV6/Inv_SY_B!$BZ6-1,"")</f>
        <v>6.3927399960712616E-3</v>
      </c>
      <c r="AW6" s="177">
        <f>IFERROR(Inv_SY_B!AW6/Inv_SY_B!$CA6-1,"")</f>
        <v>3.8730704216102918E-2</v>
      </c>
      <c r="AX6" s="177">
        <f>IFERROR(Inv_SY_B!AX6/Inv_SY_B!$CA6-1,"")</f>
        <v>5.3607137268990801E-2</v>
      </c>
      <c r="AY6" s="177">
        <f>IFERROR(Inv_SY_B!AY6/Inv_SY_B!$CA6-1,"")</f>
        <v>1.4268855133747982E-2</v>
      </c>
      <c r="AZ6" s="177">
        <f>IFERROR(Inv_SY_B!AZ6/Inv_SY_B!$CA6-1,"")</f>
        <v>-4.7884192060536623E-3</v>
      </c>
      <c r="BA6" s="177">
        <f>IFERROR(Inv_SY_B!BA6/Inv_SY_B!$CA6-1,"")</f>
        <v>2.9640433114287879E-2</v>
      </c>
      <c r="BB6" s="177">
        <f>IFERROR(Inv_SY_B!BB6/Inv_SY_B!$CA6-1,"")</f>
        <v>5.8781473718070298E-2</v>
      </c>
      <c r="BC6" s="177">
        <f>IFERROR(Inv_SY_B!BC6/Inv_SY_B!$CA6-1,"")</f>
        <v>4.5640771807227365E-2</v>
      </c>
      <c r="BD6" s="177">
        <f>IFERROR(Inv_SY_B!BD6/Inv_SY_B!$CA6-1,"")</f>
        <v>6.5703531204418075E-2</v>
      </c>
      <c r="BE6" s="177">
        <f>IFERROR(Inv_SY_B!BE6/Inv_SY_B!$CA6-1,"")</f>
        <v>6.0875490454008752E-2</v>
      </c>
      <c r="BF6" s="177">
        <f>IFERROR(Inv_SY_B!BF6/Inv_SY_B!$CA6-1,"")</f>
        <v>6.3269980027932604E-2</v>
      </c>
      <c r="BG6" s="177">
        <f>IFERROR(Inv_SY_B!BG6/Inv_SY_B!$CA6-1,"")</f>
        <v>8.0823824188061222E-2</v>
      </c>
      <c r="BH6" s="177">
        <f>IFERROR(Inv_SY_B!BH6/Inv_SY_B!$CA6-1,"")</f>
        <v>2.5710352120647872E-2</v>
      </c>
      <c r="BI6" s="177">
        <f>IFERROR(Inv_SY_B!BI6/Inv_SY_B!$CA6-1,"")</f>
        <v>7.3502710349162559E-2</v>
      </c>
      <c r="BJ6" s="177">
        <f>IFERROR(Inv_SY_B!BJ6/Inv_SY_B!$CA6-1,"")</f>
        <v>7.6394609715556561E-2</v>
      </c>
      <c r="BK6" s="177">
        <f>IFERROR(Inv_SY_B!BK6/Inv_SY_B!$CA6-1,"")</f>
        <v>7.9152338079537365E-2</v>
      </c>
      <c r="BL6" s="177">
        <f>IFERROR(Inv_SY_B!BL6/Inv_SY_B!$CA6-1,"")</f>
        <v>7.1871408845334495E-2</v>
      </c>
      <c r="BM6" s="177">
        <f>IFERROR(Inv_SY_B!BM6/Inv_SY_B!$CA6-1,"")</f>
        <v>3.9190018747739641E-2</v>
      </c>
      <c r="BN6" s="177">
        <f>IFERROR(Inv_SY_B!BN6/Inv_SY_B!$CA6-1,"")</f>
        <v>4.6166366380307355E-2</v>
      </c>
      <c r="BO6" s="177">
        <f>IFERROR(Inv_SY_B!BO6/Inv_SY_B!$CA6-1,"")</f>
        <v>-1.9859584740674507E-2</v>
      </c>
      <c r="BP6" s="177">
        <f>IFERROR(Inv_SY_B!BP6/Inv_SY_B!$CA6-1,"")</f>
        <v>6.9258039050560827E-2</v>
      </c>
      <c r="BQ6" s="177">
        <f>IFERROR(Inv_SY_B!BQ6/Inv_SY_B!$CA6-1,"")</f>
        <v>1.6850074238582646E-2</v>
      </c>
      <c r="BR6" s="177">
        <f>IFERROR(Inv_SY_B!BR6/Inv_SY_B!$CA6-1,"")</f>
        <v>-0.21345927818799326</v>
      </c>
      <c r="BS6" s="177">
        <f>IFERROR(Inv_SY_B!BS6/Inv_SY_B!$CA6-1,"")</f>
        <v>-4.5361728531193579E-3</v>
      </c>
      <c r="BT6" s="177">
        <f>IFERROR(Inv_SY_B!BT6/Inv_SY_B!$CA6-1,"")</f>
        <v>-3.4632941944538365E-2</v>
      </c>
      <c r="BU6" s="177">
        <f>IFERROR(Inv_SY_B!BU6/Inv_SY_B!$CA6-1,"")</f>
        <v>-0.65123293315429986</v>
      </c>
      <c r="BV6" s="177">
        <f>IFERROR(Inv_SY_B!BV6/Inv_SY_B!$CA6-1,"")</f>
        <v>-0.19256214457972853</v>
      </c>
      <c r="BW6" s="177">
        <f>IFERROR(Inv_SY_B!BW6/Inv_SY_B!$CA6-1,"")</f>
        <v>5.88078069669149E-2</v>
      </c>
      <c r="BX6" s="177">
        <f>IFERROR(Inv_SY_B!BX6/Inv_SY_B!$CA6-1,"")</f>
        <v>5.2825549039218433E-2</v>
      </c>
    </row>
    <row r="7" spans="1:76">
      <c r="A7"/>
      <c r="B7" s="173">
        <f t="shared" si="1"/>
        <v>45840</v>
      </c>
      <c r="C7" s="177">
        <f>IFERROR(Inv_SY_B!C7/Inv_SY_B!$BY7-1,"")</f>
        <v>3.4626058168258922E-3</v>
      </c>
      <c r="D7" s="177">
        <f>IFERROR(Inv_SY_B!D7/Inv_SY_B!$BY7-1,"")</f>
        <v>4.4314284438100593E-3</v>
      </c>
      <c r="E7" s="177">
        <f>IFERROR(Inv_SY_B!E7/Inv_SY_B!$BY7-1,"")</f>
        <v>-5.5919892890309297E-3</v>
      </c>
      <c r="F7" s="177">
        <f>IFERROR(Inv_SY_B!F7/Inv_SY_B!$BY7-1,"")</f>
        <v>-1.748217262820051E-2</v>
      </c>
      <c r="G7" s="177">
        <f>IFERROR(Inv_SY_B!G7/Inv_SY_B!$BY7-1,"")</f>
        <v>-1.040034293029457E-2</v>
      </c>
      <c r="H7" s="177">
        <f>IFERROR(Inv_SY_B!H7/Inv_SY_B!$BY7-1,"")</f>
        <v>-1.532597923005441E-2</v>
      </c>
      <c r="I7" s="177">
        <f>IFERROR(Inv_SY_B!I7/Inv_SY_B!$BY7-1,"")</f>
        <v>5.0449405898074229E-3</v>
      </c>
      <c r="J7" s="177">
        <f>IFERROR(Inv_SY_B!J7/Inv_SY_B!$BY7-1,"")</f>
        <v>4.5121636627254436E-3</v>
      </c>
      <c r="K7" s="177">
        <f>IFERROR(Inv_SY_B!K7/Inv_SY_B!$BY7-1,"")</f>
        <v>-1.011948130849516E-2</v>
      </c>
      <c r="L7" s="177">
        <f>IFERROR(Inv_SY_B!L7/Inv_SY_B!$BY7-1,"")</f>
        <v>5.5594011839212865E-3</v>
      </c>
      <c r="M7" s="177">
        <f>IFERROR(Inv_SY_B!M7/Inv_SY_B!$BY7-1,"")</f>
        <v>3.0968041975912852E-2</v>
      </c>
      <c r="N7" s="177">
        <f>IFERROR(Inv_SY_B!N7/Inv_SY_B!$BY7-1,"")</f>
        <v>3.1404399272676464E-3</v>
      </c>
      <c r="O7" s="177">
        <f>IFERROR(Inv_SY_B!O7/Inv_SY_B!$BY7-1,"")</f>
        <v>5.9135011018527583E-2</v>
      </c>
      <c r="P7" s="177">
        <f>IFERROR(Inv_SY_B!P7/Inv_SY_B!$BY7-1,"")</f>
        <v>-2.7662590109531426E-2</v>
      </c>
      <c r="Q7" s="177">
        <f>IFERROR(Inv_SY_B!Q7/Inv_SY_B!$BY7-1,"")</f>
        <v>-2.6776646060044929E-3</v>
      </c>
      <c r="R7" s="177">
        <f>IFERROR(Inv_SY_B!R7/Inv_SY_B!$BY7-1,"")</f>
        <v>8.7018864178989297E-4</v>
      </c>
      <c r="S7" s="177">
        <f>IFERROR(Inv_SY_B!S7/Inv_SY_B!$BY7-1,"")</f>
        <v>-6.267507145022444E-4</v>
      </c>
      <c r="T7" s="177">
        <f>IFERROR(Inv_SY_B!T7/Inv_SY_B!$BY7-1,"")</f>
        <v>1.4907417118732447E-3</v>
      </c>
      <c r="U7" s="177">
        <f>IFERROR(Inv_SY_B!U7/Inv_SY_B!$BY7-1,"")</f>
        <v>2.2532761418507796E-3</v>
      </c>
      <c r="V7" s="177">
        <f>IFERROR(Inv_SY_B!V7/Inv_SY_B!$BY7-1,"")</f>
        <v>8.785581292632294E-3</v>
      </c>
      <c r="W7" s="177">
        <f>IFERROR(Inv_SY_B!W7/Inv_SY_B!$BY7-1,"")</f>
        <v>-1.7867322697730836E-2</v>
      </c>
      <c r="X7" s="177">
        <f>IFERROR(Inv_SY_B!X7/Inv_SY_B!$BY7-1,"")</f>
        <v>-2.4093391552066579E-2</v>
      </c>
      <c r="Y7" s="177">
        <f>IFERROR(Inv_SY_B!Y7/Inv_SY_B!$BY7-1,"")</f>
        <v>5.4419764095279266E-3</v>
      </c>
      <c r="Z7" s="177">
        <f>IFERROR(Inv_SY_B!Z7/Inv_SY_B!$BY7-1,"")</f>
        <v>1.2933783336926297E-2</v>
      </c>
      <c r="AA7" s="177">
        <f>IFERROR(Inv_SY_B!AA7/Inv_SY_B!$BY7-1,"")</f>
        <v>-6.5685107387691843E-4</v>
      </c>
      <c r="AB7" s="177">
        <f>IFERROR(Inv_SY_B!AB7/Inv_SY_B!$BY7-1,"")</f>
        <v>-1.4447190989361758E-3</v>
      </c>
      <c r="AC7" s="177">
        <f>IFERROR(Inv_SY_B!AC7/Inv_SY_B!$BY7-1,"")</f>
        <v>-3.6554720483974457E-3</v>
      </c>
      <c r="AD7" s="177">
        <f>IFERROR(Inv_SY_B!AD7/Inv_SY_B!$BY7-1,"")</f>
        <v>-1.0424852866281364E-2</v>
      </c>
      <c r="AE7" s="177">
        <f>IFERROR(Inv_SY_B!AE7/Inv_SY_B!$BZ7-1,"")</f>
        <v>0.12456544899683775</v>
      </c>
      <c r="AF7" s="177">
        <f>IFERROR(Inv_SY_B!AF7/Inv_SY_B!$BZ7-1,"")</f>
        <v>0.10091373062305609</v>
      </c>
      <c r="AG7" s="177">
        <f>IFERROR(Inv_SY_B!AG7/Inv_SY_B!$BZ7-1,"")</f>
        <v>9.079629777045195E-2</v>
      </c>
      <c r="AH7" s="177">
        <f>IFERROR(Inv_SY_B!AH7/Inv_SY_B!$BZ7-1,"")</f>
        <v>8.2087760904231422E-2</v>
      </c>
      <c r="AI7" s="177">
        <f>IFERROR(Inv_SY_B!AI7/Inv_SY_B!$BZ7-1,"")</f>
        <v>-6.4232664602698053E-3</v>
      </c>
      <c r="AJ7" s="177">
        <f>IFERROR(Inv_SY_B!AJ7/Inv_SY_B!$BZ7-1,"")</f>
        <v>-2.0818035080882535E-2</v>
      </c>
      <c r="AK7" s="177">
        <f>IFERROR(Inv_SY_B!AK7/Inv_SY_B!$BZ7-1,"")</f>
        <v>-1.464547563037899E-2</v>
      </c>
      <c r="AL7" s="177">
        <f>IFERROR(Inv_SY_B!AL7/Inv_SY_B!$BZ7-1,"")</f>
        <v>-0.24963428959004219</v>
      </c>
      <c r="AM7" s="177">
        <f>IFERROR(Inv_SY_B!AM7/Inv_SY_B!$BZ7-1,"")</f>
        <v>0.10575606381520419</v>
      </c>
      <c r="AN7" s="177">
        <f>IFERROR(Inv_SY_B!AN7/Inv_SY_B!$BZ7-1,"")</f>
        <v>0.11205334576479498</v>
      </c>
      <c r="AO7" s="177">
        <f>IFERROR(Inv_SY_B!AO7/Inv_SY_B!$BZ7-1,"")</f>
        <v>-0.17859696051464014</v>
      </c>
      <c r="AP7" s="177">
        <f>IFERROR(Inv_SY_B!AP7/Inv_SY_B!$BZ7-1,"")</f>
        <v>-0.17253291122984882</v>
      </c>
      <c r="AQ7" s="177">
        <f>IFERROR(Inv_SY_B!AQ7/Inv_SY_B!$BZ7-1,"")</f>
        <v>-0.18319376026177792</v>
      </c>
      <c r="AR7" s="177">
        <f>IFERROR(Inv_SY_B!AR7/Inv_SY_B!$BZ7-1,"")</f>
        <v>-0.17366939039650897</v>
      </c>
      <c r="AS7" s="177">
        <f>IFERROR(Inv_SY_B!AS7/Inv_SY_B!$BZ7-1,"")</f>
        <v>9.8216130792283307E-2</v>
      </c>
      <c r="AT7" s="177">
        <f>IFERROR(Inv_SY_B!AT7/Inv_SY_B!$BZ7-1,"")</f>
        <v>9.6499403391706817E-2</v>
      </c>
      <c r="AU7" s="177">
        <f>IFERROR(Inv_SY_B!AU7/Inv_SY_B!$BZ7-1,"")</f>
        <v>9.8515736028291334E-2</v>
      </c>
      <c r="AV7" s="177">
        <f>IFERROR(Inv_SY_B!AV7/Inv_SY_B!$BZ7-1,"")</f>
        <v>9.0110171077489865E-2</v>
      </c>
      <c r="AW7" s="177">
        <f>IFERROR(Inv_SY_B!AW7/Inv_SY_B!$CA7-1,"")</f>
        <v>-4.5829345733466864E-2</v>
      </c>
      <c r="AX7" s="177">
        <f>IFERROR(Inv_SY_B!AX7/Inv_SY_B!$CA7-1,"")</f>
        <v>-3.7406576427119309E-2</v>
      </c>
      <c r="AY7" s="177">
        <f>IFERROR(Inv_SY_B!AY7/Inv_SY_B!$CA7-1,"")</f>
        <v>-6.1722197774876197E-2</v>
      </c>
      <c r="AZ7" s="177">
        <f>IFERROR(Inv_SY_B!AZ7/Inv_SY_B!$CA7-1,"")</f>
        <v>-2.0646780230066053E-2</v>
      </c>
      <c r="BA7" s="177">
        <f>IFERROR(Inv_SY_B!BA7/Inv_SY_B!$CA7-1,"")</f>
        <v>-2.2550295620847205E-2</v>
      </c>
      <c r="BB7" s="177">
        <f>IFERROR(Inv_SY_B!BB7/Inv_SY_B!$CA7-1,"")</f>
        <v>1.2380619071093557E-2</v>
      </c>
      <c r="BC7" s="177">
        <f>IFERROR(Inv_SY_B!BC7/Inv_SY_B!$CA7-1,"")</f>
        <v>-3.4087832413159935E-3</v>
      </c>
      <c r="BD7" s="177">
        <f>IFERROR(Inv_SY_B!BD7/Inv_SY_B!$CA7-1,"")</f>
        <v>2.1276979478993985E-2</v>
      </c>
      <c r="BE7" s="177">
        <f>IFERROR(Inv_SY_B!BE7/Inv_SY_B!$CA7-1,"")</f>
        <v>4.5644300494288803E-2</v>
      </c>
      <c r="BF7" s="177">
        <f>IFERROR(Inv_SY_B!BF7/Inv_SY_B!$CA7-1,"")</f>
        <v>5.542210431396577E-2</v>
      </c>
      <c r="BG7" s="177">
        <f>IFERROR(Inv_SY_B!BG7/Inv_SY_B!$CA7-1,"")</f>
        <v>7.9107411301615249E-2</v>
      </c>
      <c r="BH7" s="177">
        <f>IFERROR(Inv_SY_B!BH7/Inv_SY_B!$CA7-1,"")</f>
        <v>7.0241037630470293E-2</v>
      </c>
      <c r="BI7" s="177">
        <f>IFERROR(Inv_SY_B!BI7/Inv_SY_B!$CA7-1,"")</f>
        <v>5.6243632439834101E-2</v>
      </c>
      <c r="BJ7" s="177">
        <f>IFERROR(Inv_SY_B!BJ7/Inv_SY_B!$CA7-1,"")</f>
        <v>7.640241728920838E-2</v>
      </c>
      <c r="BK7" s="177">
        <f>IFERROR(Inv_SY_B!BK7/Inv_SY_B!$CA7-1,"")</f>
        <v>7.3496201277300832E-2</v>
      </c>
      <c r="BL7" s="177">
        <f>IFERROR(Inv_SY_B!BL7/Inv_SY_B!$CA7-1,"")</f>
        <v>6.1426169199351177E-2</v>
      </c>
      <c r="BM7" s="177">
        <f>IFERROR(Inv_SY_B!BM7/Inv_SY_B!$CA7-1,"")</f>
        <v>3.9335982816817161E-2</v>
      </c>
      <c r="BN7" s="177">
        <f>IFERROR(Inv_SY_B!BN7/Inv_SY_B!$CA7-1,"")</f>
        <v>4.7994628877578549E-2</v>
      </c>
      <c r="BO7" s="177">
        <f>IFERROR(Inv_SY_B!BO7/Inv_SY_B!$CA7-1,"")</f>
        <v>-1.664491969183346E-2</v>
      </c>
      <c r="BP7" s="177">
        <f>IFERROR(Inv_SY_B!BP7/Inv_SY_B!$CA7-1,"")</f>
        <v>6.358745228645879E-2</v>
      </c>
      <c r="BQ7" s="177">
        <f>IFERROR(Inv_SY_B!BQ7/Inv_SY_B!$CA7-1,"")</f>
        <v>1.2300525667686024E-2</v>
      </c>
      <c r="BR7" s="177">
        <f>IFERROR(Inv_SY_B!BR7/Inv_SY_B!$CA7-1,"")</f>
        <v>-0.14455984627994434</v>
      </c>
      <c r="BS7" s="177">
        <f>IFERROR(Inv_SY_B!BS7/Inv_SY_B!$CA7-1,"")</f>
        <v>6.5078334280368466E-3</v>
      </c>
      <c r="BT7" s="177">
        <f>IFERROR(Inv_SY_B!BT7/Inv_SY_B!$CA7-1,"")</f>
        <v>7.4738038089867675E-3</v>
      </c>
      <c r="BU7" s="177">
        <f>IFERROR(Inv_SY_B!BU7/Inv_SY_B!$CA7-1,"")</f>
        <v>-0.52301874883515209</v>
      </c>
      <c r="BV7" s="177">
        <f>IFERROR(Inv_SY_B!BV7/Inv_SY_B!$CA7-1,"")</f>
        <v>3.9918060648243658E-2</v>
      </c>
      <c r="BW7" s="177">
        <f>IFERROR(Inv_SY_B!BW7/Inv_SY_B!$CA7-1,"")</f>
        <v>5.7723682968355172E-2</v>
      </c>
      <c r="BX7" s="177">
        <f>IFERROR(Inv_SY_B!BX7/Inv_SY_B!$CA7-1,"")</f>
        <v>4.9304650836335062E-2</v>
      </c>
    </row>
    <row r="8" spans="1:76">
      <c r="A8"/>
      <c r="B8" s="173">
        <f t="shared" si="1"/>
        <v>45841</v>
      </c>
      <c r="C8" s="177">
        <f>IFERROR(Inv_SY_B!C8/Inv_SY_B!$BY8-1,"")</f>
        <v>-1.0219407670158165E-2</v>
      </c>
      <c r="D8" s="177">
        <f>IFERROR(Inv_SY_B!D8/Inv_SY_B!$BY8-1,"")</f>
        <v>-7.6480279391910599E-3</v>
      </c>
      <c r="E8" s="177">
        <f>IFERROR(Inv_SY_B!E8/Inv_SY_B!$BY8-1,"")</f>
        <v>-1.8765909872650588E-2</v>
      </c>
      <c r="F8" s="177">
        <f>IFERROR(Inv_SY_B!F8/Inv_SY_B!$BY8-1,"")</f>
        <v>-3.3622811260444418E-2</v>
      </c>
      <c r="G8" s="177">
        <f>IFERROR(Inv_SY_B!G8/Inv_SY_B!$BY8-1,"")</f>
        <v>-2.6996077621281978E-2</v>
      </c>
      <c r="H8" s="177">
        <f>IFERROR(Inv_SY_B!H8/Inv_SY_B!$BY8-1,"")</f>
        <v>-3.1075097174822819E-2</v>
      </c>
      <c r="I8" s="177">
        <f>IFERROR(Inv_SY_B!I8/Inv_SY_B!$BY8-1,"")</f>
        <v>-1.019331532190404E-2</v>
      </c>
      <c r="J8" s="177">
        <f>IFERROR(Inv_SY_B!J8/Inv_SY_B!$BY8-1,"")</f>
        <v>-1.9097489632008524E-2</v>
      </c>
      <c r="K8" s="177">
        <f>IFERROR(Inv_SY_B!K8/Inv_SY_B!$BY8-1,"")</f>
        <v>-1.4832641258702872E-2</v>
      </c>
      <c r="L8" s="177">
        <f>IFERROR(Inv_SY_B!L8/Inv_SY_B!$BY8-1,"")</f>
        <v>-3.5343666810004892E-3</v>
      </c>
      <c r="M8" s="177">
        <f>IFERROR(Inv_SY_B!M8/Inv_SY_B!$BY8-1,"")</f>
        <v>2.6079529636988674E-2</v>
      </c>
      <c r="N8" s="177">
        <f>IFERROR(Inv_SY_B!N8/Inv_SY_B!$BY8-1,"")</f>
        <v>-1.4306977586404646E-3</v>
      </c>
      <c r="O8" s="177">
        <f>IFERROR(Inv_SY_B!O8/Inv_SY_B!$BY8-1,"")</f>
        <v>5.1943787624536331E-2</v>
      </c>
      <c r="P8" s="177">
        <f>IFERROR(Inv_SY_B!P8/Inv_SY_B!$BY8-1,"")</f>
        <v>-2.423751275225916E-2</v>
      </c>
      <c r="Q8" s="177">
        <f>IFERROR(Inv_SY_B!Q8/Inv_SY_B!$BY8-1,"")</f>
        <v>-4.9303959053967894E-3</v>
      </c>
      <c r="R8" s="177">
        <f>IFERROR(Inv_SY_B!R8/Inv_SY_B!$BY8-1,"")</f>
        <v>-2.7174879780212935E-3</v>
      </c>
      <c r="S8" s="177">
        <f>IFERROR(Inv_SY_B!S8/Inv_SY_B!$BY8-1,"")</f>
        <v>-4.6811554527032007E-3</v>
      </c>
      <c r="T8" s="177">
        <f>IFERROR(Inv_SY_B!T8/Inv_SY_B!$BY8-1,"")</f>
        <v>2.1320987290633919E-3</v>
      </c>
      <c r="U8" s="177">
        <f>IFERROR(Inv_SY_B!U8/Inv_SY_B!$BY8-1,"")</f>
        <v>-1.168508789383349E-3</v>
      </c>
      <c r="V8" s="177">
        <f>IFERROR(Inv_SY_B!V8/Inv_SY_B!$BY8-1,"")</f>
        <v>6.8102045608251505E-3</v>
      </c>
      <c r="W8" s="177">
        <f>IFERROR(Inv_SY_B!W8/Inv_SY_B!$BY8-1,"")</f>
        <v>5.8223808992157178E-3</v>
      </c>
      <c r="X8" s="177">
        <f>IFERROR(Inv_SY_B!X8/Inv_SY_B!$BY8-1,"")</f>
        <v>1.847056090890975E-3</v>
      </c>
      <c r="Y8" s="177">
        <f>IFERROR(Inv_SY_B!Y8/Inv_SY_B!$BY8-1,"")</f>
        <v>3.4993424589849553E-2</v>
      </c>
      <c r="Z8" s="177">
        <f>IFERROR(Inv_SY_B!Z8/Inv_SY_B!$BY8-1,"")</f>
        <v>3.4426829127891523E-2</v>
      </c>
      <c r="AA8" s="177">
        <f>IFERROR(Inv_SY_B!AA8/Inv_SY_B!$BY8-1,"")</f>
        <v>1.7538137505570317E-2</v>
      </c>
      <c r="AB8" s="177">
        <f>IFERROR(Inv_SY_B!AB8/Inv_SY_B!$BY8-1,"")</f>
        <v>1.1300488255860497E-2</v>
      </c>
      <c r="AC8" s="177">
        <f>IFERROR(Inv_SY_B!AC8/Inv_SY_B!$BY8-1,"")</f>
        <v>1.5626672048326462E-2</v>
      </c>
      <c r="AD8" s="177">
        <f>IFERROR(Inv_SY_B!AD8/Inv_SY_B!$BY8-1,"")</f>
        <v>6.6302939995506183E-3</v>
      </c>
      <c r="AE8" s="177">
        <f>IFERROR(Inv_SY_B!AE8/Inv_SY_B!$BZ8-1,"")</f>
        <v>1.9183751816508776E-2</v>
      </c>
      <c r="AF8" s="177">
        <f>IFERROR(Inv_SY_B!AF8/Inv_SY_B!$BZ8-1,"")</f>
        <v>1.8096599007197955E-3</v>
      </c>
      <c r="AG8" s="177">
        <f>IFERROR(Inv_SY_B!AG8/Inv_SY_B!$BZ8-1,"")</f>
        <v>-5.1222118323154264E-3</v>
      </c>
      <c r="AH8" s="177">
        <f>IFERROR(Inv_SY_B!AH8/Inv_SY_B!$BZ8-1,"")</f>
        <v>-1.5540664741763632E-2</v>
      </c>
      <c r="AI8" s="177">
        <f>IFERROR(Inv_SY_B!AI8/Inv_SY_B!$BZ8-1,"")</f>
        <v>4.7289406848363136E-3</v>
      </c>
      <c r="AJ8" s="177">
        <f>IFERROR(Inv_SY_B!AJ8/Inv_SY_B!$BZ8-1,"")</f>
        <v>-1.1970414405269025E-3</v>
      </c>
      <c r="AK8" s="177">
        <f>IFERROR(Inv_SY_B!AK8/Inv_SY_B!$BZ8-1,"")</f>
        <v>-1.0810439248970516E-3</v>
      </c>
      <c r="AL8" s="177">
        <f>IFERROR(Inv_SY_B!AL8/Inv_SY_B!$BZ8-1,"")</f>
        <v>-1.5312240642114672E-3</v>
      </c>
      <c r="AM8" s="177">
        <f>IFERROR(Inv_SY_B!AM8/Inv_SY_B!$BZ8-1,"")</f>
        <v>-4.0052942388478785E-3</v>
      </c>
      <c r="AN8" s="177">
        <f>IFERROR(Inv_SY_B!AN8/Inv_SY_B!$BZ8-1,"")</f>
        <v>6.2061086140154931E-3</v>
      </c>
      <c r="AO8" s="177">
        <f>IFERROR(Inv_SY_B!AO8/Inv_SY_B!$BZ8-1,"")</f>
        <v>-1.7077285969537837E-3</v>
      </c>
      <c r="AP8" s="177">
        <f>IFERROR(Inv_SY_B!AP8/Inv_SY_B!$BZ8-1,"")</f>
        <v>-4.2241100142665911E-3</v>
      </c>
      <c r="AQ8" s="177">
        <f>IFERROR(Inv_SY_B!AQ8/Inv_SY_B!$BZ8-1,"")</f>
        <v>-1.5511952158255404E-2</v>
      </c>
      <c r="AR8" s="177">
        <f>IFERROR(Inv_SY_B!AR8/Inv_SY_B!$BZ8-1,"")</f>
        <v>-1.0050943781265809E-2</v>
      </c>
      <c r="AS8" s="177">
        <f>IFERROR(Inv_SY_B!AS8/Inv_SY_B!$BZ8-1,"")</f>
        <v>-1.4158391582628216E-3</v>
      </c>
      <c r="AT8" s="177">
        <f>IFERROR(Inv_SY_B!AT8/Inv_SY_B!$BZ8-1,"")</f>
        <v>6.4372974830402274E-3</v>
      </c>
      <c r="AU8" s="177">
        <f>IFERROR(Inv_SY_B!AU8/Inv_SY_B!$BZ8-1,"")</f>
        <v>1.9659431124244842E-2</v>
      </c>
      <c r="AV8" s="177">
        <f>IFERROR(Inv_SY_B!AV8/Inv_SY_B!$BZ8-1,"")</f>
        <v>3.3628643281979897E-3</v>
      </c>
      <c r="AW8" s="177">
        <f>IFERROR(Inv_SY_B!AW8/Inv_SY_B!$CA8-1,"")</f>
        <v>-3.0871677556980726E-2</v>
      </c>
      <c r="AX8" s="177">
        <f>IFERROR(Inv_SY_B!AX8/Inv_SY_B!$CA8-1,"")</f>
        <v>-1.2973776772779555E-2</v>
      </c>
      <c r="AY8" s="177">
        <f>IFERROR(Inv_SY_B!AY8/Inv_SY_B!$CA8-1,"")</f>
        <v>-2.3139979632604835E-2</v>
      </c>
      <c r="AZ8" s="177">
        <f>IFERROR(Inv_SY_B!AZ8/Inv_SY_B!$CA8-1,"")</f>
        <v>-9.3502231965348459E-2</v>
      </c>
      <c r="BA8" s="177">
        <f>IFERROR(Inv_SY_B!BA8/Inv_SY_B!$CA8-1,"")</f>
        <v>-1.9478111986195312E-2</v>
      </c>
      <c r="BB8" s="177">
        <f>IFERROR(Inv_SY_B!BB8/Inv_SY_B!$CA8-1,"")</f>
        <v>1.1131439623525807E-2</v>
      </c>
      <c r="BC8" s="177">
        <f>IFERROR(Inv_SY_B!BC8/Inv_SY_B!$CA8-1,"")</f>
        <v>3.4986325275181418E-3</v>
      </c>
      <c r="BD8" s="177">
        <f>IFERROR(Inv_SY_B!BD8/Inv_SY_B!$CA8-1,"")</f>
        <v>2.2420198435754379E-2</v>
      </c>
      <c r="BE8" s="177">
        <f>IFERROR(Inv_SY_B!BE8/Inv_SY_B!$CA8-1,"")</f>
        <v>2.7211952657961724E-2</v>
      </c>
      <c r="BF8" s="177">
        <f>IFERROR(Inv_SY_B!BF8/Inv_SY_B!$CA8-1,"")</f>
        <v>3.3577110152317458E-2</v>
      </c>
      <c r="BG8" s="177">
        <f>IFERROR(Inv_SY_B!BG8/Inv_SY_B!$CA8-1,"")</f>
        <v>5.3141861185672878E-2</v>
      </c>
      <c r="BH8" s="177">
        <f>IFERROR(Inv_SY_B!BH8/Inv_SY_B!$CA8-1,"")</f>
        <v>4.4389548951582425E-2</v>
      </c>
      <c r="BI8" s="177">
        <f>IFERROR(Inv_SY_B!BI8/Inv_SY_B!$CA8-1,"")</f>
        <v>4.1920928403579749E-2</v>
      </c>
      <c r="BJ8" s="177">
        <f>IFERROR(Inv_SY_B!BJ8/Inv_SY_B!$CA8-1,"")</f>
        <v>5.669687607237095E-2</v>
      </c>
      <c r="BK8" s="177">
        <f>IFERROR(Inv_SY_B!BK8/Inv_SY_B!$CA8-1,"")</f>
        <v>5.2121523709554696E-2</v>
      </c>
      <c r="BL8" s="177">
        <f>IFERROR(Inv_SY_B!BL8/Inv_SY_B!$CA8-1,"")</f>
        <v>4.1263959375480441E-2</v>
      </c>
      <c r="BM8" s="177">
        <f>IFERROR(Inv_SY_B!BM8/Inv_SY_B!$CA8-1,"")</f>
        <v>1.6782293715727148E-2</v>
      </c>
      <c r="BN8" s="177">
        <f>IFERROR(Inv_SY_B!BN8/Inv_SY_B!$CA8-1,"")</f>
        <v>3.7530926234164763E-2</v>
      </c>
      <c r="BO8" s="177">
        <f>IFERROR(Inv_SY_B!BO8/Inv_SY_B!$CA8-1,"")</f>
        <v>-3.9985508514611912E-2</v>
      </c>
      <c r="BP8" s="177">
        <f>IFERROR(Inv_SY_B!BP8/Inv_SY_B!$CA8-1,"")</f>
        <v>4.2013102282810078E-2</v>
      </c>
      <c r="BQ8" s="177">
        <f>IFERROR(Inv_SY_B!BQ8/Inv_SY_B!$CA8-1,"")</f>
        <v>2.0634554657581683E-2</v>
      </c>
      <c r="BR8" s="177">
        <f>IFERROR(Inv_SY_B!BR8/Inv_SY_B!$CA8-1,"")</f>
        <v>5.0683932282773236E-2</v>
      </c>
      <c r="BS8" s="177">
        <f>IFERROR(Inv_SY_B!BS8/Inv_SY_B!$CA8-1,"")</f>
        <v>1.2748250197677446E-2</v>
      </c>
      <c r="BT8" s="177">
        <f>IFERROR(Inv_SY_B!BT8/Inv_SY_B!$CA8-1,"")</f>
        <v>1.6756141769009636E-2</v>
      </c>
      <c r="BU8" s="177">
        <f>IFERROR(Inv_SY_B!BU8/Inv_SY_B!$CA8-1,"")</f>
        <v>-0.49814344253694132</v>
      </c>
      <c r="BV8" s="177">
        <f>IFERROR(Inv_SY_B!BV8/Inv_SY_B!$CA8-1,"")</f>
        <v>5.2329516791364217E-2</v>
      </c>
      <c r="BW8" s="177">
        <f>IFERROR(Inv_SY_B!BW8/Inv_SY_B!$CA8-1,"")</f>
        <v>4.8126246686801544E-2</v>
      </c>
      <c r="BX8" s="177">
        <f>IFERROR(Inv_SY_B!BX8/Inv_SY_B!$CA8-1,"")</f>
        <v>3.3115733252232937E-2</v>
      </c>
    </row>
    <row r="9" spans="1:76">
      <c r="A9"/>
      <c r="B9" s="173">
        <f t="shared" si="1"/>
        <v>45842</v>
      </c>
      <c r="C9" s="177">
        <f>IFERROR(Inv_SY_B!C9/Inv_SY_B!$BY9-1,"")</f>
        <v>1.035720961793718E-3</v>
      </c>
      <c r="D9" s="177">
        <f>IFERROR(Inv_SY_B!D9/Inv_SY_B!$BY9-1,"")</f>
        <v>-7.5310852434463671E-3</v>
      </c>
      <c r="E9" s="177">
        <f>IFERROR(Inv_SY_B!E9/Inv_SY_B!$BY9-1,"")</f>
        <v>-1.6749349880408992E-2</v>
      </c>
      <c r="F9" s="177">
        <f>IFERROR(Inv_SY_B!F9/Inv_SY_B!$BY9-1,"")</f>
        <v>-9.056744139093964E-3</v>
      </c>
      <c r="G9" s="177">
        <f>IFERROR(Inv_SY_B!G9/Inv_SY_B!$BY9-1,"")</f>
        <v>1.9891254276891424E-3</v>
      </c>
      <c r="H9" s="177">
        <f>IFERROR(Inv_SY_B!H9/Inv_SY_B!$BY9-1,"")</f>
        <v>-2.731914398344748E-3</v>
      </c>
      <c r="I9" s="177">
        <f>IFERROR(Inv_SY_B!I9/Inv_SY_B!$BY9-1,"")</f>
        <v>1.1966086408244481E-2</v>
      </c>
      <c r="J9" s="177">
        <f>IFERROR(Inv_SY_B!J9/Inv_SY_B!$BY9-1,"")</f>
        <v>8.0512450582765904E-3</v>
      </c>
      <c r="K9" s="177">
        <f>IFERROR(Inv_SY_B!K9/Inv_SY_B!$BY9-1,"")</f>
        <v>-7.0112230269124831E-3</v>
      </c>
      <c r="L9" s="177">
        <f>IFERROR(Inv_SY_B!L9/Inv_SY_B!$BY9-1,"")</f>
        <v>1.4690228600377608E-2</v>
      </c>
      <c r="M9" s="177">
        <f>IFERROR(Inv_SY_B!M9/Inv_SY_B!$BY9-1,"")</f>
        <v>3.4882241959087512E-2</v>
      </c>
      <c r="N9" s="177">
        <f>IFERROR(Inv_SY_B!N9/Inv_SY_B!$BY9-1,"")</f>
        <v>2.3842511615508322E-3</v>
      </c>
      <c r="O9" s="177">
        <f>IFERROR(Inv_SY_B!O9/Inv_SY_B!$BY9-1,"")</f>
        <v>5.2374631191838272E-2</v>
      </c>
      <c r="P9" s="177">
        <f>IFERROR(Inv_SY_B!P9/Inv_SY_B!$BY9-1,"")</f>
        <v>-2.6562318467337254E-2</v>
      </c>
      <c r="Q9" s="177">
        <f>IFERROR(Inv_SY_B!Q9/Inv_SY_B!$BY9-1,"")</f>
        <v>-1.4375853881412048E-3</v>
      </c>
      <c r="R9" s="177">
        <f>IFERROR(Inv_SY_B!R9/Inv_SY_B!$BY9-1,"")</f>
        <v>-6.5443727577416677E-3</v>
      </c>
      <c r="S9" s="177">
        <f>IFERROR(Inv_SY_B!S9/Inv_SY_B!$BY9-1,"")</f>
        <v>-1.0246134491336822E-2</v>
      </c>
      <c r="T9" s="177">
        <f>IFERROR(Inv_SY_B!T9/Inv_SY_B!$BY9-1,"")</f>
        <v>-9.557450277080104E-4</v>
      </c>
      <c r="U9" s="177">
        <f>IFERROR(Inv_SY_B!U9/Inv_SY_B!$BY9-1,"")</f>
        <v>-4.3291406008100219E-3</v>
      </c>
      <c r="V9" s="177">
        <f>IFERROR(Inv_SY_B!V9/Inv_SY_B!$BY9-1,"")</f>
        <v>3.461363888632718E-4</v>
      </c>
      <c r="W9" s="177">
        <f>IFERROR(Inv_SY_B!W9/Inv_SY_B!$BY9-1,"")</f>
        <v>-2.1082415780802832E-2</v>
      </c>
      <c r="X9" s="177">
        <f>IFERROR(Inv_SY_B!X9/Inv_SY_B!$BY9-1,"")</f>
        <v>-2.4628136047728622E-2</v>
      </c>
      <c r="Y9" s="177">
        <f>IFERROR(Inv_SY_B!Y9/Inv_SY_B!$BY9-1,"")</f>
        <v>1.006939442586563E-2</v>
      </c>
      <c r="Z9" s="177">
        <f>IFERROR(Inv_SY_B!Z9/Inv_SY_B!$BY9-1,"")</f>
        <v>1.2391595787008436E-2</v>
      </c>
      <c r="AA9" s="177">
        <f>IFERROR(Inv_SY_B!AA9/Inv_SY_B!$BY9-1,"")</f>
        <v>2.8997363199634307E-4</v>
      </c>
      <c r="AB9" s="177">
        <f>IFERROR(Inv_SY_B!AB9/Inv_SY_B!$BY9-1,"")</f>
        <v>-4.3331797894842206E-3</v>
      </c>
      <c r="AC9" s="177">
        <f>IFERROR(Inv_SY_B!AC9/Inv_SY_B!$BY9-1,"")</f>
        <v>1.3126564507803806E-4</v>
      </c>
      <c r="AD9" s="177">
        <f>IFERROR(Inv_SY_B!AD9/Inv_SY_B!$BY9-1,"")</f>
        <v>-7.4025516083715548E-3</v>
      </c>
      <c r="AE9" s="177">
        <f>IFERROR(Inv_SY_B!AE9/Inv_SY_B!$BZ9-1,"")</f>
        <v>9.9030941863260669E-3</v>
      </c>
      <c r="AF9" s="177">
        <f>IFERROR(Inv_SY_B!AF9/Inv_SY_B!$BZ9-1,"")</f>
        <v>8.5728560334175086E-5</v>
      </c>
      <c r="AG9" s="177">
        <f>IFERROR(Inv_SY_B!AG9/Inv_SY_B!$BZ9-1,"")</f>
        <v>-3.0559172314426064E-5</v>
      </c>
      <c r="AH9" s="177">
        <f>IFERROR(Inv_SY_B!AH9/Inv_SY_B!$BZ9-1,"")</f>
        <v>-8.8707428354175555E-3</v>
      </c>
      <c r="AI9" s="177">
        <f>IFERROR(Inv_SY_B!AI9/Inv_SY_B!$BZ9-1,"")</f>
        <v>1.0766604393741552E-3</v>
      </c>
      <c r="AJ9" s="177">
        <f>IFERROR(Inv_SY_B!AJ9/Inv_SY_B!$BZ9-1,"")</f>
        <v>1.9753991613531419E-3</v>
      </c>
      <c r="AK9" s="177">
        <f>IFERROR(Inv_SY_B!AK9/Inv_SY_B!$BZ9-1,"")</f>
        <v>-4.5122380946626128E-3</v>
      </c>
      <c r="AL9" s="177">
        <f>IFERROR(Inv_SY_B!AL9/Inv_SY_B!$BZ9-1,"")</f>
        <v>-2.2323795865580864E-3</v>
      </c>
      <c r="AM9" s="177">
        <f>IFERROR(Inv_SY_B!AM9/Inv_SY_B!$BZ9-1,"")</f>
        <v>-3.5927382682310327E-3</v>
      </c>
      <c r="AN9" s="177">
        <f>IFERROR(Inv_SY_B!AN9/Inv_SY_B!$BZ9-1,"")</f>
        <v>2.5008580539513936E-3</v>
      </c>
      <c r="AO9" s="177">
        <f>IFERROR(Inv_SY_B!AO9/Inv_SY_B!$BZ9-1,"")</f>
        <v>8.5249456728389017E-3</v>
      </c>
      <c r="AP9" s="177">
        <f>IFERROR(Inv_SY_B!AP9/Inv_SY_B!$BZ9-1,"")</f>
        <v>-5.5752489102234293E-4</v>
      </c>
      <c r="AQ9" s="177">
        <f>IFERROR(Inv_SY_B!AQ9/Inv_SY_B!$BZ9-1,"")</f>
        <v>-1.0782745774018387E-4</v>
      </c>
      <c r="AR9" s="177">
        <f>IFERROR(Inv_SY_B!AR9/Inv_SY_B!$BZ9-1,"")</f>
        <v>-6.1718769957507247E-3</v>
      </c>
      <c r="AS9" s="177">
        <f>IFERROR(Inv_SY_B!AS9/Inv_SY_B!$BZ9-1,"")</f>
        <v>-7.4242982708426775E-3</v>
      </c>
      <c r="AT9" s="177">
        <f>IFERROR(Inv_SY_B!AT9/Inv_SY_B!$BZ9-1,"")</f>
        <v>6.3976020838243386E-3</v>
      </c>
      <c r="AU9" s="177">
        <f>IFERROR(Inv_SY_B!AU9/Inv_SY_B!$BZ9-1,"")</f>
        <v>4.6294823805403951E-3</v>
      </c>
      <c r="AV9" s="177">
        <f>IFERROR(Inv_SY_B!AV9/Inv_SY_B!$BZ9-1,"")</f>
        <v>-1.5935849660045909E-3</v>
      </c>
      <c r="AW9" s="177">
        <f>IFERROR(Inv_SY_B!AW9/Inv_SY_B!$CA9-1,"")</f>
        <v>4.3725662185961411E-2</v>
      </c>
      <c r="AX9" s="177">
        <f>IFERROR(Inv_SY_B!AX9/Inv_SY_B!$CA9-1,"")</f>
        <v>6.078810851495553E-2</v>
      </c>
      <c r="AY9" s="177">
        <f>IFERROR(Inv_SY_B!AY9/Inv_SY_B!$CA9-1,"")</f>
        <v>1.0176672476793769E-3</v>
      </c>
      <c r="AZ9" s="177">
        <f>IFERROR(Inv_SY_B!AZ9/Inv_SY_B!$CA9-1,"")</f>
        <v>-0.22635547219918128</v>
      </c>
      <c r="BA9" s="177">
        <f>IFERROR(Inv_SY_B!BA9/Inv_SY_B!$CA9-1,"")</f>
        <v>2.4074309413091077E-2</v>
      </c>
      <c r="BB9" s="177">
        <f>IFERROR(Inv_SY_B!BB9/Inv_SY_B!$CA9-1,"")</f>
        <v>4.8348755145509292E-2</v>
      </c>
      <c r="BC9" s="177">
        <f>IFERROR(Inv_SY_B!BC9/Inv_SY_B!$CA9-1,"")</f>
        <v>3.316403410517732E-2</v>
      </c>
      <c r="BD9" s="177">
        <f>IFERROR(Inv_SY_B!BD9/Inv_SY_B!$CA9-1,"")</f>
        <v>4.948487158414494E-2</v>
      </c>
      <c r="BE9" s="177">
        <f>IFERROR(Inv_SY_B!BE9/Inv_SY_B!$CA9-1,"")</f>
        <v>3.6322334035598924E-2</v>
      </c>
      <c r="BF9" s="177">
        <f>IFERROR(Inv_SY_B!BF9/Inv_SY_B!$CA9-1,"")</f>
        <v>3.7011967747654362E-2</v>
      </c>
      <c r="BG9" s="177">
        <f>IFERROR(Inv_SY_B!BG9/Inv_SY_B!$CA9-1,"")</f>
        <v>5.230805498181601E-2</v>
      </c>
      <c r="BH9" s="177">
        <f>IFERROR(Inv_SY_B!BH9/Inv_SY_B!$CA9-1,"")</f>
        <v>4.2406229930639583E-2</v>
      </c>
      <c r="BI9" s="177">
        <f>IFERROR(Inv_SY_B!BI9/Inv_SY_B!$CA9-1,"")</f>
        <v>5.55769280287437E-2</v>
      </c>
      <c r="BJ9" s="177">
        <f>IFERROR(Inv_SY_B!BJ9/Inv_SY_B!$CA9-1,"")</f>
        <v>5.0776510354481497E-2</v>
      </c>
      <c r="BK9" s="177">
        <f>IFERROR(Inv_SY_B!BK9/Inv_SY_B!$CA9-1,"")</f>
        <v>6.4044414993914112E-2</v>
      </c>
      <c r="BL9" s="177">
        <f>IFERROR(Inv_SY_B!BL9/Inv_SY_B!$CA9-1,"")</f>
        <v>5.4884231363103719E-2</v>
      </c>
      <c r="BM9" s="177">
        <f>IFERROR(Inv_SY_B!BM9/Inv_SY_B!$CA9-1,"")</f>
        <v>1.1760989298168267E-2</v>
      </c>
      <c r="BN9" s="177">
        <f>IFERROR(Inv_SY_B!BN9/Inv_SY_B!$CA9-1,"")</f>
        <v>3.9364579982183123E-2</v>
      </c>
      <c r="BO9" s="177">
        <f>IFERROR(Inv_SY_B!BO9/Inv_SY_B!$CA9-1,"")</f>
        <v>-3.447033028051516E-2</v>
      </c>
      <c r="BP9" s="177">
        <f>IFERROR(Inv_SY_B!BP9/Inv_SY_B!$CA9-1,"")</f>
        <v>4.4971858784385477E-2</v>
      </c>
      <c r="BQ9" s="177">
        <f>IFERROR(Inv_SY_B!BQ9/Inv_SY_B!$CA9-1,"")</f>
        <v>-6.6146508330530818E-2</v>
      </c>
      <c r="BR9" s="177">
        <f>IFERROR(Inv_SY_B!BR9/Inv_SY_B!$CA9-1,"")</f>
        <v>4.2583289564103177E-2</v>
      </c>
      <c r="BS9" s="177">
        <f>IFERROR(Inv_SY_B!BS9/Inv_SY_B!$CA9-1,"")</f>
        <v>-4.9694427095211546E-3</v>
      </c>
      <c r="BT9" s="177">
        <f>IFERROR(Inv_SY_B!BT9/Inv_SY_B!$CA9-1,"")</f>
        <v>8.6737120230881981E-3</v>
      </c>
      <c r="BU9" s="177">
        <f>IFERROR(Inv_SY_B!BU9/Inv_SY_B!$CA9-1,"")</f>
        <v>-0.51141553344203916</v>
      </c>
      <c r="BV9" s="177">
        <f>IFERROR(Inv_SY_B!BV9/Inv_SY_B!$CA9-1,"")</f>
        <v>-2.5542420370153751E-2</v>
      </c>
      <c r="BW9" s="177">
        <f>IFERROR(Inv_SY_B!BW9/Inv_SY_B!$CA9-1,"")</f>
        <v>3.910175843911512E-2</v>
      </c>
      <c r="BX9" s="177">
        <f>IFERROR(Inv_SY_B!BX9/Inv_SY_B!$CA9-1,"")</f>
        <v>2.850943960843777E-2</v>
      </c>
    </row>
    <row r="10" spans="1:76">
      <c r="A10"/>
      <c r="B10" s="173">
        <f t="shared" si="1"/>
        <v>45843</v>
      </c>
      <c r="C10" s="177">
        <f>IFERROR(Inv_SY_B!C10/Inv_SY_B!$BY10-1,"")</f>
        <v>4.068438068098823E-2</v>
      </c>
      <c r="D10" s="177">
        <f>IFERROR(Inv_SY_B!D10/Inv_SY_B!$BY10-1,"")</f>
        <v>4.3681163149001723E-2</v>
      </c>
      <c r="E10" s="177">
        <f>IFERROR(Inv_SY_B!E10/Inv_SY_B!$BY10-1,"")</f>
        <v>3.1676901035977645E-2</v>
      </c>
      <c r="F10" s="177">
        <f>IFERROR(Inv_SY_B!F10/Inv_SY_B!$BY10-1,"")</f>
        <v>6.7575225537852557E-3</v>
      </c>
      <c r="G10" s="177">
        <f>IFERROR(Inv_SY_B!G10/Inv_SY_B!$BY10-1,"")</f>
        <v>1.060479527075775E-2</v>
      </c>
      <c r="H10" s="177">
        <f>IFERROR(Inv_SY_B!H10/Inv_SY_B!$BY10-1,"")</f>
        <v>1.3958488452764151E-2</v>
      </c>
      <c r="I10" s="177">
        <f>IFERROR(Inv_SY_B!I10/Inv_SY_B!$BY10-1,"")</f>
        <v>4.0920755297663813E-2</v>
      </c>
      <c r="J10" s="177">
        <f>IFERROR(Inv_SY_B!J10/Inv_SY_B!$BY10-1,"")</f>
        <v>2.4983087224893952E-2</v>
      </c>
      <c r="K10" s="177">
        <f>IFERROR(Inv_SY_B!K10/Inv_SY_B!$BY10-1,"")</f>
        <v>3.4142070740657005E-2</v>
      </c>
      <c r="L10" s="177">
        <f>IFERROR(Inv_SY_B!L10/Inv_SY_B!$BY10-1,"")</f>
        <v>4.0929589763259777E-2</v>
      </c>
      <c r="M10" s="177">
        <f>IFERROR(Inv_SY_B!M10/Inv_SY_B!$BY10-1,"")</f>
        <v>6.5513329651955221E-2</v>
      </c>
      <c r="N10" s="177">
        <f>IFERROR(Inv_SY_B!N10/Inv_SY_B!$BY10-1,"")</f>
        <v>4.0944285645798217E-2</v>
      </c>
      <c r="O10" s="177">
        <f>IFERROR(Inv_SY_B!O10/Inv_SY_B!$BY10-1,"")</f>
        <v>9.556576272621875E-2</v>
      </c>
      <c r="P10" s="177">
        <f>IFERROR(Inv_SY_B!P10/Inv_SY_B!$BY10-1,"")</f>
        <v>8.637409873386348E-3</v>
      </c>
      <c r="Q10" s="177">
        <f>IFERROR(Inv_SY_B!Q10/Inv_SY_B!$BY10-1,"")</f>
        <v>3.8992580072524374E-2</v>
      </c>
      <c r="R10" s="177">
        <f>IFERROR(Inv_SY_B!R10/Inv_SY_B!$BY10-1,"")</f>
        <v>4.5951931936188961E-2</v>
      </c>
      <c r="S10" s="177">
        <f>IFERROR(Inv_SY_B!S10/Inv_SY_B!$BY10-1,"")</f>
        <v>-4.3399894866527733E-2</v>
      </c>
      <c r="T10" s="177">
        <f>IFERROR(Inv_SY_B!T10/Inv_SY_B!$BY10-1,"")</f>
        <v>-3.7106155721920997E-2</v>
      </c>
      <c r="U10" s="177">
        <f>IFERROR(Inv_SY_B!U10/Inv_SY_B!$BY10-1,"")</f>
        <v>-3.5122837240804672E-2</v>
      </c>
      <c r="V10" s="177">
        <f>IFERROR(Inv_SY_B!V10/Inv_SY_B!$BY10-1,"")</f>
        <v>-2.8162938185932962E-2</v>
      </c>
      <c r="W10" s="177">
        <f>IFERROR(Inv_SY_B!W10/Inv_SY_B!$BY10-1,"")</f>
        <v>2.5390470267509846E-2</v>
      </c>
      <c r="X10" s="177">
        <f>IFERROR(Inv_SY_B!X10/Inv_SY_B!$BY10-1,"")</f>
        <v>1.5782523877313936E-2</v>
      </c>
      <c r="Y10" s="177">
        <f>IFERROR(Inv_SY_B!Y10/Inv_SY_B!$BY10-1,"")</f>
        <v>5.185623146457452E-2</v>
      </c>
      <c r="Z10" s="177">
        <f>IFERROR(Inv_SY_B!Z10/Inv_SY_B!$BY10-1,"")</f>
        <v>4.5498634920647207E-2</v>
      </c>
      <c r="AA10" s="177">
        <f>IFERROR(Inv_SY_B!AA10/Inv_SY_B!$BY10-1,"")</f>
        <v>-0.32218663530499547</v>
      </c>
      <c r="AB10" s="177">
        <f>IFERROR(Inv_SY_B!AB10/Inv_SY_B!$BY10-1,"")</f>
        <v>-0.32775781116816272</v>
      </c>
      <c r="AC10" s="177">
        <f>IFERROR(Inv_SY_B!AC10/Inv_SY_B!$BY10-1,"")</f>
        <v>4.1740592992615566E-2</v>
      </c>
      <c r="AD10" s="177">
        <f>IFERROR(Inv_SY_B!AD10/Inv_SY_B!$BY10-1,"")</f>
        <v>2.9523764889858972E-2</v>
      </c>
      <c r="AE10" s="177">
        <f>IFERROR(Inv_SY_B!AE10/Inv_SY_B!$BZ10-1,"")</f>
        <v>-4.5075875703459722E-5</v>
      </c>
      <c r="AF10" s="177">
        <f>IFERROR(Inv_SY_B!AF10/Inv_SY_B!$BZ10-1,"")</f>
        <v>-1.2642645130119479E-2</v>
      </c>
      <c r="AG10" s="177">
        <f>IFERROR(Inv_SY_B!AG10/Inv_SY_B!$BZ10-1,"")</f>
        <v>-9.0387192660785765E-3</v>
      </c>
      <c r="AH10" s="177">
        <f>IFERROR(Inv_SY_B!AH10/Inv_SY_B!$BZ10-1,"")</f>
        <v>-1.8466390349520356E-2</v>
      </c>
      <c r="AI10" s="177">
        <f>IFERROR(Inv_SY_B!AI10/Inv_SY_B!$BZ10-1,"")</f>
        <v>-1.124340535915147E-3</v>
      </c>
      <c r="AJ10" s="177">
        <f>IFERROR(Inv_SY_B!AJ10/Inv_SY_B!$BZ10-1,"")</f>
        <v>2.9232881158856028E-3</v>
      </c>
      <c r="AK10" s="177">
        <f>IFERROR(Inv_SY_B!AK10/Inv_SY_B!$BZ10-1,"")</f>
        <v>-3.3591970817207217E-3</v>
      </c>
      <c r="AL10" s="177">
        <f>IFERROR(Inv_SY_B!AL10/Inv_SY_B!$BZ10-1,"")</f>
        <v>3.4614236618577543E-3</v>
      </c>
      <c r="AM10" s="177">
        <f>IFERROR(Inv_SY_B!AM10/Inv_SY_B!$BZ10-1,"")</f>
        <v>-4.2213797903722927E-3</v>
      </c>
      <c r="AN10" s="177">
        <f>IFERROR(Inv_SY_B!AN10/Inv_SY_B!$BZ10-1,"")</f>
        <v>2.6264418678616508E-3</v>
      </c>
      <c r="AO10" s="177">
        <f>IFERROR(Inv_SY_B!AO10/Inv_SY_B!$BZ10-1,"")</f>
        <v>2.7581307459043636E-3</v>
      </c>
      <c r="AP10" s="177">
        <f>IFERROR(Inv_SY_B!AP10/Inv_SY_B!$BZ10-1,"")</f>
        <v>-8.6461260926157246E-3</v>
      </c>
      <c r="AQ10" s="177">
        <f>IFERROR(Inv_SY_B!AQ10/Inv_SY_B!$BZ10-1,"")</f>
        <v>-6.0873559030174551E-3</v>
      </c>
      <c r="AR10" s="177">
        <f>IFERROR(Inv_SY_B!AR10/Inv_SY_B!$BZ10-1,"")</f>
        <v>-8.4747919312881947E-3</v>
      </c>
      <c r="AS10" s="177">
        <f>IFERROR(Inv_SY_B!AS10/Inv_SY_B!$BZ10-1,"")</f>
        <v>-1.22706734562672E-3</v>
      </c>
      <c r="AT10" s="177">
        <f>IFERROR(Inv_SY_B!AT10/Inv_SY_B!$BZ10-1,"")</f>
        <v>2.0896880494152503E-2</v>
      </c>
      <c r="AU10" s="177">
        <f>IFERROR(Inv_SY_B!AU10/Inv_SY_B!$BZ10-1,"")</f>
        <v>2.4870022339645637E-2</v>
      </c>
      <c r="AV10" s="177">
        <f>IFERROR(Inv_SY_B!AV10/Inv_SY_B!$BZ10-1,"")</f>
        <v>1.579690207667106E-2</v>
      </c>
      <c r="AW10" s="177">
        <f>IFERROR(Inv_SY_B!AW10/Inv_SY_B!$CA10-1,"")</f>
        <v>3.4096703961015162E-3</v>
      </c>
      <c r="AX10" s="177">
        <f>IFERROR(Inv_SY_B!AX10/Inv_SY_B!$CA10-1,"")</f>
        <v>2.678578290274003E-2</v>
      </c>
      <c r="AY10" s="177">
        <f>IFERROR(Inv_SY_B!AY10/Inv_SY_B!$CA10-1,"")</f>
        <v>-0.53863569956006185</v>
      </c>
      <c r="AZ10" s="177">
        <f>IFERROR(Inv_SY_B!AZ10/Inv_SY_B!$CA10-1,"")</f>
        <v>-0.9967580098111396</v>
      </c>
      <c r="BA10" s="177">
        <f>IFERROR(Inv_SY_B!BA10/Inv_SY_B!$CA10-1,"")</f>
        <v>1.9991263544338667E-2</v>
      </c>
      <c r="BB10" s="177">
        <f>IFERROR(Inv_SY_B!BB10/Inv_SY_B!$CA10-1,"")</f>
        <v>3.0231479758484614E-2</v>
      </c>
      <c r="BC10" s="177">
        <f>IFERROR(Inv_SY_B!BC10/Inv_SY_B!$CA10-1,"")</f>
        <v>3.9690043616580128E-2</v>
      </c>
      <c r="BD10" s="177">
        <f>IFERROR(Inv_SY_B!BD10/Inv_SY_B!$CA10-1,"")</f>
        <v>5.7735927337851711E-2</v>
      </c>
      <c r="BE10" s="177">
        <f>IFERROR(Inv_SY_B!BE10/Inv_SY_B!$CA10-1,"")</f>
        <v>5.5902057547430717E-2</v>
      </c>
      <c r="BF10" s="177">
        <f>IFERROR(Inv_SY_B!BF10/Inv_SY_B!$CA10-1,"")</f>
        <v>5.9432533952286981E-2</v>
      </c>
      <c r="BG10" s="177">
        <f>IFERROR(Inv_SY_B!BG10/Inv_SY_B!$CA10-1,"")</f>
        <v>7.8866111779380299E-2</v>
      </c>
      <c r="BH10" s="177">
        <f>IFERROR(Inv_SY_B!BH10/Inv_SY_B!$CA10-1,"")</f>
        <v>7.0538993057476462E-2</v>
      </c>
      <c r="BI10" s="177">
        <f>IFERROR(Inv_SY_B!BI10/Inv_SY_B!$CA10-1,"")</f>
        <v>6.3842355921972738E-2</v>
      </c>
      <c r="BJ10" s="177">
        <f>IFERROR(Inv_SY_B!BJ10/Inv_SY_B!$CA10-1,"")</f>
        <v>7.9377606968063841E-2</v>
      </c>
      <c r="BK10" s="177">
        <f>IFERROR(Inv_SY_B!BK10/Inv_SY_B!$CA10-1,"")</f>
        <v>7.3906601375206771E-2</v>
      </c>
      <c r="BL10" s="177">
        <f>IFERROR(Inv_SY_B!BL10/Inv_SY_B!$CA10-1,"")</f>
        <v>6.3915450072759672E-2</v>
      </c>
      <c r="BM10" s="177">
        <f>IFERROR(Inv_SY_B!BM10/Inv_SY_B!$CA10-1,"")</f>
        <v>4.174821345380697E-2</v>
      </c>
      <c r="BN10" s="177">
        <f>IFERROR(Inv_SY_B!BN10/Inv_SY_B!$CA10-1,"")</f>
        <v>7.279624092762127E-2</v>
      </c>
      <c r="BO10" s="177">
        <f>IFERROR(Inv_SY_B!BO10/Inv_SY_B!$CA10-1,"")</f>
        <v>-1.1967482173318444E-3</v>
      </c>
      <c r="BP10" s="177">
        <f>IFERROR(Inv_SY_B!BP10/Inv_SY_B!$CA10-1,"")</f>
        <v>7.0919447040605155E-2</v>
      </c>
      <c r="BQ10" s="177">
        <f>IFERROR(Inv_SY_B!BQ10/Inv_SY_B!$CA10-1,"")</f>
        <v>1.9958567052772214E-2</v>
      </c>
      <c r="BR10" s="177">
        <f>IFERROR(Inv_SY_B!BR10/Inv_SY_B!$CA10-1,"")</f>
        <v>4.4435824850478145E-2</v>
      </c>
      <c r="BS10" s="177">
        <f>IFERROR(Inv_SY_B!BS10/Inv_SY_B!$CA10-1,"")</f>
        <v>-1.4124060783789361E-2</v>
      </c>
      <c r="BT10" s="177">
        <f>IFERROR(Inv_SY_B!BT10/Inv_SY_B!$CA10-1,"")</f>
        <v>3.7289774593454172E-3</v>
      </c>
      <c r="BU10" s="177">
        <f>IFERROR(Inv_SY_B!BU10/Inv_SY_B!$CA10-1,"")</f>
        <v>-0.51202575320197419</v>
      </c>
      <c r="BV10" s="177">
        <f>IFERROR(Inv_SY_B!BV10/Inv_SY_B!$CA10-1,"")</f>
        <v>-1.9203032487237204E-3</v>
      </c>
      <c r="BW10" s="177">
        <f>IFERROR(Inv_SY_B!BW10/Inv_SY_B!$CA10-1,"")</f>
        <v>4.9491846942176565E-2</v>
      </c>
      <c r="BX10" s="177">
        <f>IFERROR(Inv_SY_B!BX10/Inv_SY_B!$CA10-1,"")</f>
        <v>4.1197569054400418E-2</v>
      </c>
    </row>
    <row r="11" spans="1:76">
      <c r="A11"/>
      <c r="B11" s="173">
        <f t="shared" si="1"/>
        <v>45844</v>
      </c>
      <c r="C11" s="177">
        <f>IFERROR(Inv_SY_B!C11/Inv_SY_B!$BY11-1,"")</f>
        <v>7.774211522850738E-4</v>
      </c>
      <c r="D11" s="177">
        <f>IFERROR(Inv_SY_B!D11/Inv_SY_B!$BY11-1,"")</f>
        <v>-5.0025375816571405E-3</v>
      </c>
      <c r="E11" s="177">
        <f>IFERROR(Inv_SY_B!E11/Inv_SY_B!$BY11-1,"")</f>
        <v>-9.4189761297692742E-3</v>
      </c>
      <c r="F11" s="177">
        <f>IFERROR(Inv_SY_B!F11/Inv_SY_B!$BY11-1,"")</f>
        <v>-5.3284256746746195E-3</v>
      </c>
      <c r="G11" s="177">
        <f>IFERROR(Inv_SY_B!G11/Inv_SY_B!$BY11-1,"")</f>
        <v>7.8444228570535568E-3</v>
      </c>
      <c r="H11" s="177">
        <f>IFERROR(Inv_SY_B!H11/Inv_SY_B!$BY11-1,"")</f>
        <v>3.4225704359962528E-3</v>
      </c>
      <c r="I11" s="177">
        <f>IFERROR(Inv_SY_B!I11/Inv_SY_B!$BY11-1,"")</f>
        <v>1.3594283570873333E-2</v>
      </c>
      <c r="J11" s="177">
        <f>IFERROR(Inv_SY_B!J11/Inv_SY_B!$BY11-1,"")</f>
        <v>3.4665242263716145E-3</v>
      </c>
      <c r="K11" s="177">
        <f>IFERROR(Inv_SY_B!K11/Inv_SY_B!$BY11-1,"")</f>
        <v>-1.1119868480075068E-2</v>
      </c>
      <c r="L11" s="177">
        <f>IFERROR(Inv_SY_B!L11/Inv_SY_B!$BY11-1,"")</f>
        <v>1.6534351085744303E-2</v>
      </c>
      <c r="M11" s="177">
        <f>IFERROR(Inv_SY_B!M11/Inv_SY_B!$BY11-1,"")</f>
        <v>3.301755335306833E-2</v>
      </c>
      <c r="N11" s="177">
        <f>IFERROR(Inv_SY_B!N11/Inv_SY_B!$BY11-1,"")</f>
        <v>-1.8658960900902466E-3</v>
      </c>
      <c r="O11" s="177">
        <f>IFERROR(Inv_SY_B!O11/Inv_SY_B!$BY11-1,"")</f>
        <v>4.8075670924305314E-2</v>
      </c>
      <c r="P11" s="177">
        <f>IFERROR(Inv_SY_B!P11/Inv_SY_B!$BY11-1,"")</f>
        <v>-3.1470355990522614E-2</v>
      </c>
      <c r="Q11" s="177">
        <f>IFERROR(Inv_SY_B!Q11/Inv_SY_B!$BY11-1,"")</f>
        <v>-6.0819907801912265E-4</v>
      </c>
      <c r="R11" s="177">
        <f>IFERROR(Inv_SY_B!R11/Inv_SY_B!$BY11-1,"")</f>
        <v>-3.2880913529899081E-3</v>
      </c>
      <c r="S11" s="177">
        <f>IFERROR(Inv_SY_B!S11/Inv_SY_B!$BY11-1,"")</f>
        <v>-3.083291768072205E-3</v>
      </c>
      <c r="T11" s="177">
        <f>IFERROR(Inv_SY_B!T11/Inv_SY_B!$BY11-1,"")</f>
        <v>-1.8373240765858778E-3</v>
      </c>
      <c r="U11" s="177">
        <f>IFERROR(Inv_SY_B!U11/Inv_SY_B!$BY11-1,"")</f>
        <v>5.7904911874304688E-3</v>
      </c>
      <c r="V11" s="177">
        <f>IFERROR(Inv_SY_B!V11/Inv_SY_B!$BY11-1,"")</f>
        <v>7.8546660068194996E-3</v>
      </c>
      <c r="W11" s="177">
        <f>IFERROR(Inv_SY_B!W11/Inv_SY_B!$BY11-1,"")</f>
        <v>-2.5702037685824797E-2</v>
      </c>
      <c r="X11" s="177">
        <f>IFERROR(Inv_SY_B!X11/Inv_SY_B!$BY11-1,"")</f>
        <v>-2.9187683466410541E-2</v>
      </c>
      <c r="Y11" s="177">
        <f>IFERROR(Inv_SY_B!Y11/Inv_SY_B!$BY11-1,"")</f>
        <v>6.8211136925306892E-3</v>
      </c>
      <c r="Z11" s="177">
        <f>IFERROR(Inv_SY_B!Z11/Inv_SY_B!$BY11-1,"")</f>
        <v>1.2189926662940387E-2</v>
      </c>
      <c r="AA11" s="177">
        <f>IFERROR(Inv_SY_B!AA11/Inv_SY_B!$BY11-1,"")</f>
        <v>-9.0918322401195573E-3</v>
      </c>
      <c r="AB11" s="177">
        <f>IFERROR(Inv_SY_B!AB11/Inv_SY_B!$BY11-1,"")</f>
        <v>-1.1576740348795855E-2</v>
      </c>
      <c r="AC11" s="177">
        <f>IFERROR(Inv_SY_B!AC11/Inv_SY_B!$BY11-1,"")</f>
        <v>-2.1223119667684864E-3</v>
      </c>
      <c r="AD11" s="177">
        <f>IFERROR(Inv_SY_B!AD11/Inv_SY_B!$BY11-1,"")</f>
        <v>-8.6854232250458407E-3</v>
      </c>
      <c r="AE11" s="177">
        <f>IFERROR(Inv_SY_B!AE11/Inv_SY_B!$BZ11-1,"")</f>
        <v>1.5751878662048524E-2</v>
      </c>
      <c r="AF11" s="177">
        <f>IFERROR(Inv_SY_B!AF11/Inv_SY_B!$BZ11-1,"")</f>
        <v>1.8832435968973993E-3</v>
      </c>
      <c r="AG11" s="177">
        <f>IFERROR(Inv_SY_B!AG11/Inv_SY_B!$BZ11-1,"")</f>
        <v>1.9950290423038641E-3</v>
      </c>
      <c r="AH11" s="177">
        <f>IFERROR(Inv_SY_B!AH11/Inv_SY_B!$BZ11-1,"")</f>
        <v>-2.6233428072691689E-3</v>
      </c>
      <c r="AI11" s="177">
        <f>IFERROR(Inv_SY_B!AI11/Inv_SY_B!$BZ11-1,"")</f>
        <v>5.2703235491908806E-3</v>
      </c>
      <c r="AJ11" s="177">
        <f>IFERROR(Inv_SY_B!AJ11/Inv_SY_B!$BZ11-1,"")</f>
        <v>4.3590528486237012E-3</v>
      </c>
      <c r="AK11" s="177">
        <f>IFERROR(Inv_SY_B!AK11/Inv_SY_B!$BZ11-1,"")</f>
        <v>-4.3707039053892949E-3</v>
      </c>
      <c r="AL11" s="177">
        <f>IFERROR(Inv_SY_B!AL11/Inv_SY_B!$BZ11-1,"")</f>
        <v>3.2308515181018738E-3</v>
      </c>
      <c r="AM11" s="177">
        <f>IFERROR(Inv_SY_B!AM11/Inv_SY_B!$BZ11-1,"")</f>
        <v>-6.9379216926294118E-3</v>
      </c>
      <c r="AN11" s="177">
        <f>IFERROR(Inv_SY_B!AN11/Inv_SY_B!$BZ11-1,"")</f>
        <v>5.7193834554003509E-4</v>
      </c>
      <c r="AO11" s="177">
        <f>IFERROR(Inv_SY_B!AO11/Inv_SY_B!$BZ11-1,"")</f>
        <v>5.2484079663781547E-3</v>
      </c>
      <c r="AP11" s="177">
        <f>IFERROR(Inv_SY_B!AP11/Inv_SY_B!$BZ11-1,"")</f>
        <v>8.4702479382459117E-4</v>
      </c>
      <c r="AQ11" s="177">
        <f>IFERROR(Inv_SY_B!AQ11/Inv_SY_B!$BZ11-1,"")</f>
        <v>6.6087421424954051E-4</v>
      </c>
      <c r="AR11" s="177">
        <f>IFERROR(Inv_SY_B!AR11/Inv_SY_B!$BZ11-1,"")</f>
        <v>-4.1627337764614802E-3</v>
      </c>
      <c r="AS11" s="177">
        <f>IFERROR(Inv_SY_B!AS11/Inv_SY_B!$BZ11-1,"")</f>
        <v>-6.3967145765969624E-3</v>
      </c>
      <c r="AT11" s="177">
        <f>IFERROR(Inv_SY_B!AT11/Inv_SY_B!$BZ11-1,"")</f>
        <v>-2.4222278279387721E-3</v>
      </c>
      <c r="AU11" s="177">
        <f>IFERROR(Inv_SY_B!AU11/Inv_SY_B!$BZ11-1,"")</f>
        <v>-3.5606677009373255E-3</v>
      </c>
      <c r="AV11" s="177">
        <f>IFERROR(Inv_SY_B!AV11/Inv_SY_B!$BZ11-1,"")</f>
        <v>-9.3443122499369258E-3</v>
      </c>
      <c r="AW11" s="177">
        <f>IFERROR(Inv_SY_B!AW11/Inv_SY_B!$CA11-1,"")</f>
        <v>-0.10786875056581491</v>
      </c>
      <c r="AX11" s="177">
        <f>IFERROR(Inv_SY_B!AX11/Inv_SY_B!$CA11-1,"")</f>
        <v>-8.560502773013845E-2</v>
      </c>
      <c r="AY11" s="177">
        <f>IFERROR(Inv_SY_B!AY11/Inv_SY_B!$CA11-1,"")</f>
        <v>-0.39670961839984742</v>
      </c>
      <c r="AZ11" s="177">
        <f>IFERROR(Inv_SY_B!AZ11/Inv_SY_B!$CA11-1,"")</f>
        <v>-0.99211762858138464</v>
      </c>
      <c r="BA11" s="177">
        <f>IFERROR(Inv_SY_B!BA11/Inv_SY_B!$CA11-1,"")</f>
        <v>3.965264240244748E-2</v>
      </c>
      <c r="BB11" s="177">
        <f>IFERROR(Inv_SY_B!BB11/Inv_SY_B!$CA11-1,"")</f>
        <v>6.428086362533092E-2</v>
      </c>
      <c r="BC11" s="177">
        <f>IFERROR(Inv_SY_B!BC11/Inv_SY_B!$CA11-1,"")</f>
        <v>4.7447518396375621E-2</v>
      </c>
      <c r="BD11" s="177">
        <f>IFERROR(Inv_SY_B!BD11/Inv_SY_B!$CA11-1,"")</f>
        <v>6.9809282484083246E-2</v>
      </c>
      <c r="BE11" s="177">
        <f>IFERROR(Inv_SY_B!BE11/Inv_SY_B!$CA11-1,"")</f>
        <v>5.6381701681376351E-2</v>
      </c>
      <c r="BF11" s="177">
        <f>IFERROR(Inv_SY_B!BF11/Inv_SY_B!$CA11-1,"")</f>
        <v>5.5262734626700061E-2</v>
      </c>
      <c r="BG11" s="177">
        <f>IFERROR(Inv_SY_B!BG11/Inv_SY_B!$CA11-1,"")</f>
        <v>6.8760033050015101E-2</v>
      </c>
      <c r="BH11" s="177">
        <f>IFERROR(Inv_SY_B!BH11/Inv_SY_B!$CA11-1,"")</f>
        <v>6.2391353056867604E-2</v>
      </c>
      <c r="BI11" s="177">
        <f>IFERROR(Inv_SY_B!BI11/Inv_SY_B!$CA11-1,"")</f>
        <v>5.857086713354076E-2</v>
      </c>
      <c r="BJ11" s="177">
        <f>IFERROR(Inv_SY_B!BJ11/Inv_SY_B!$CA11-1,"")</f>
        <v>6.7738977156649005E-2</v>
      </c>
      <c r="BK11" s="177">
        <f>IFERROR(Inv_SY_B!BK11/Inv_SY_B!$CA11-1,"")</f>
        <v>7.1237065689034429E-2</v>
      </c>
      <c r="BL11" s="177">
        <f>IFERROR(Inv_SY_B!BL11/Inv_SY_B!$CA11-1,"")</f>
        <v>6.0227157292937594E-2</v>
      </c>
      <c r="BM11" s="177">
        <f>IFERROR(Inv_SY_B!BM11/Inv_SY_B!$CA11-1,"")</f>
        <v>4.8715400611633486E-2</v>
      </c>
      <c r="BN11" s="177">
        <f>IFERROR(Inv_SY_B!BN11/Inv_SY_B!$CA11-1,"")</f>
        <v>7.0595524756030814E-2</v>
      </c>
      <c r="BO11" s="177">
        <f>IFERROR(Inv_SY_B!BO11/Inv_SY_B!$CA11-1,"")</f>
        <v>-7.916640474733827E-2</v>
      </c>
      <c r="BP11" s="177">
        <f>IFERROR(Inv_SY_B!BP11/Inv_SY_B!$CA11-1,"")</f>
        <v>6.8741237528555654E-2</v>
      </c>
      <c r="BQ11" s="177">
        <f>IFERROR(Inv_SY_B!BQ11/Inv_SY_B!$CA11-1,"")</f>
        <v>4.8900456273937021E-2</v>
      </c>
      <c r="BR11" s="177">
        <f>IFERROR(Inv_SY_B!BR11/Inv_SY_B!$CA11-1,"")</f>
        <v>6.602429228046458E-2</v>
      </c>
      <c r="BS11" s="177">
        <f>IFERROR(Inv_SY_B!BS11/Inv_SY_B!$CA11-1,"")</f>
        <v>2.1026209354789716E-2</v>
      </c>
      <c r="BT11" s="177">
        <f>IFERROR(Inv_SY_B!BT11/Inv_SY_B!$CA11-1,"")</f>
        <v>3.0930806738083572E-2</v>
      </c>
      <c r="BU11" s="177">
        <f>IFERROR(Inv_SY_B!BU11/Inv_SY_B!$CA11-1,"")</f>
        <v>-0.50349083803075612</v>
      </c>
      <c r="BV11" s="177">
        <f>IFERROR(Inv_SY_B!BV11/Inv_SY_B!$CA11-1,"")</f>
        <v>-2.9603069673999172E-2</v>
      </c>
      <c r="BW11" s="177">
        <f>IFERROR(Inv_SY_B!BW11/Inv_SY_B!$CA11-1,"")</f>
        <v>6.512088145806838E-2</v>
      </c>
      <c r="BX11" s="177">
        <f>IFERROR(Inv_SY_B!BX11/Inv_SY_B!$CA11-1,"")</f>
        <v>6.0628703550974716E-2</v>
      </c>
    </row>
    <row r="12" spans="1:76">
      <c r="A12"/>
      <c r="B12" s="173">
        <f t="shared" si="1"/>
        <v>45845</v>
      </c>
      <c r="C12" s="177">
        <f>IFERROR(Inv_SY_B!C12/Inv_SY_B!$BY12-1,"")</f>
        <v>-4.6004698027686253E-3</v>
      </c>
      <c r="D12" s="177">
        <f>IFERROR(Inv_SY_B!D12/Inv_SY_B!$BY12-1,"")</f>
        <v>-9.5730562883239445E-3</v>
      </c>
      <c r="E12" s="177">
        <f>IFERROR(Inv_SY_B!E12/Inv_SY_B!$BY12-1,"")</f>
        <v>-2.064909166985951E-2</v>
      </c>
      <c r="F12" s="177">
        <f>IFERROR(Inv_SY_B!F12/Inv_SY_B!$BY12-1,"")</f>
        <v>-2.8622855521148627E-2</v>
      </c>
      <c r="G12" s="177">
        <f>IFERROR(Inv_SY_B!G12/Inv_SY_B!$BY12-1,"")</f>
        <v>-1.8838709610941251E-2</v>
      </c>
      <c r="H12" s="177">
        <f>IFERROR(Inv_SY_B!H12/Inv_SY_B!$BY12-1,"")</f>
        <v>-1.7938712001310808E-2</v>
      </c>
      <c r="I12" s="177">
        <f>IFERROR(Inv_SY_B!I12/Inv_SY_B!$BY12-1,"")</f>
        <v>-3.5687822830310356E-3</v>
      </c>
      <c r="J12" s="177">
        <f>IFERROR(Inv_SY_B!J12/Inv_SY_B!$BY12-1,"")</f>
        <v>-1.05037277555875E-3</v>
      </c>
      <c r="K12" s="177">
        <f>IFERROR(Inv_SY_B!K12/Inv_SY_B!$BY12-1,"")</f>
        <v>-1.2732718118855568E-2</v>
      </c>
      <c r="L12" s="177">
        <f>IFERROR(Inv_SY_B!L12/Inv_SY_B!$BY12-1,"")</f>
        <v>3.8232157017643598E-3</v>
      </c>
      <c r="M12" s="177">
        <f>IFERROR(Inv_SY_B!M12/Inv_SY_B!$BY12-1,"")</f>
        <v>2.0493570887547996E-2</v>
      </c>
      <c r="N12" s="177">
        <f>IFERROR(Inv_SY_B!N12/Inv_SY_B!$BY12-1,"")</f>
        <v>-6.9977339043765241E-3</v>
      </c>
      <c r="O12" s="177">
        <f>IFERROR(Inv_SY_B!O12/Inv_SY_B!$BY12-1,"")</f>
        <v>4.1473092755746288E-2</v>
      </c>
      <c r="P12" s="177">
        <f>IFERROR(Inv_SY_B!P12/Inv_SY_B!$BY12-1,"")</f>
        <v>-3.6873279786535429E-2</v>
      </c>
      <c r="Q12" s="177">
        <f>IFERROR(Inv_SY_B!Q12/Inv_SY_B!$BY12-1,"")</f>
        <v>-7.6185963510534416E-3</v>
      </c>
      <c r="R12" s="177">
        <f>IFERROR(Inv_SY_B!R12/Inv_SY_B!$BY12-1,"")</f>
        <v>-6.7787367839957646E-3</v>
      </c>
      <c r="S12" s="177">
        <f>IFERROR(Inv_SY_B!S12/Inv_SY_B!$BY12-1,"")</f>
        <v>8.7616501716134554E-3</v>
      </c>
      <c r="T12" s="177">
        <f>IFERROR(Inv_SY_B!T12/Inv_SY_B!$BY12-1,"")</f>
        <v>2.2779433494739987E-2</v>
      </c>
      <c r="U12" s="177">
        <f>IFERROR(Inv_SY_B!U12/Inv_SY_B!$BY12-1,"")</f>
        <v>1.911826293774288E-2</v>
      </c>
      <c r="V12" s="177">
        <f>IFERROR(Inv_SY_B!V12/Inv_SY_B!$BY12-1,"")</f>
        <v>2.4942984100269072E-2</v>
      </c>
      <c r="W12" s="177">
        <f>IFERROR(Inv_SY_B!W12/Inv_SY_B!$BY12-1,"")</f>
        <v>-8.9200757291979516E-3</v>
      </c>
      <c r="X12" s="177">
        <f>IFERROR(Inv_SY_B!X12/Inv_SY_B!$BY12-1,"")</f>
        <v>-2.1881493028403476E-2</v>
      </c>
      <c r="Y12" s="177">
        <f>IFERROR(Inv_SY_B!Y12/Inv_SY_B!$BY12-1,"")</f>
        <v>1.7024120888506022E-2</v>
      </c>
      <c r="Z12" s="177">
        <f>IFERROR(Inv_SY_B!Z12/Inv_SY_B!$BY12-1,"")</f>
        <v>1.7695142370894201E-2</v>
      </c>
      <c r="AA12" s="177">
        <f>IFERROR(Inv_SY_B!AA12/Inv_SY_B!$BY12-1,"")</f>
        <v>6.6167460617450047E-3</v>
      </c>
      <c r="AB12" s="177">
        <f>IFERROR(Inv_SY_B!AB12/Inv_SY_B!$BY12-1,"")</f>
        <v>9.1744232096262479E-3</v>
      </c>
      <c r="AC12" s="177">
        <f>IFERROR(Inv_SY_B!AC12/Inv_SY_B!$BY12-1,"")</f>
        <v>1.2709722130263668E-2</v>
      </c>
      <c r="AD12" s="177">
        <f>IFERROR(Inv_SY_B!AD12/Inv_SY_B!$BY12-1,"")</f>
        <v>2.0323189448996359E-3</v>
      </c>
      <c r="AE12" s="177">
        <f>IFERROR(Inv_SY_B!AE12/Inv_SY_B!$BZ12-1,"")</f>
        <v>2.2566579194205127E-2</v>
      </c>
      <c r="AF12" s="177">
        <f>IFERROR(Inv_SY_B!AF12/Inv_SY_B!$BZ12-1,"")</f>
        <v>1.2944562616382438E-2</v>
      </c>
      <c r="AG12" s="177">
        <f>IFERROR(Inv_SY_B!AG12/Inv_SY_B!$BZ12-1,"")</f>
        <v>1.4924940920840513E-2</v>
      </c>
      <c r="AH12" s="177">
        <f>IFERROR(Inv_SY_B!AH12/Inv_SY_B!$BZ12-1,"")</f>
        <v>8.7896141091818869E-3</v>
      </c>
      <c r="AI12" s="177">
        <f>IFERROR(Inv_SY_B!AI12/Inv_SY_B!$BZ12-1,"")</f>
        <v>1.5456779317829739E-2</v>
      </c>
      <c r="AJ12" s="177">
        <f>IFERROR(Inv_SY_B!AJ12/Inv_SY_B!$BZ12-1,"")</f>
        <v>1.7677986740548768E-2</v>
      </c>
      <c r="AK12" s="177">
        <f>IFERROR(Inv_SY_B!AK12/Inv_SY_B!$BZ12-1,"")</f>
        <v>-8.2866501341916088E-3</v>
      </c>
      <c r="AL12" s="177">
        <f>IFERROR(Inv_SY_B!AL12/Inv_SY_B!$BZ12-1,"")</f>
        <v>-7.7833482944827947E-2</v>
      </c>
      <c r="AM12" s="177">
        <f>IFERROR(Inv_SY_B!AM12/Inv_SY_B!$BZ12-1,"")</f>
        <v>-1.537244158393225E-2</v>
      </c>
      <c r="AN12" s="177">
        <f>IFERROR(Inv_SY_B!AN12/Inv_SY_B!$BZ12-1,"")</f>
        <v>-7.755618787311569E-3</v>
      </c>
      <c r="AO12" s="177">
        <f>IFERROR(Inv_SY_B!AO12/Inv_SY_B!$BZ12-1,"")</f>
        <v>-1.8022400497225144E-3</v>
      </c>
      <c r="AP12" s="177">
        <f>IFERROR(Inv_SY_B!AP12/Inv_SY_B!$BZ12-1,"")</f>
        <v>-7.5367445690177615E-3</v>
      </c>
      <c r="AQ12" s="177">
        <f>IFERROR(Inv_SY_B!AQ12/Inv_SY_B!$BZ12-1,"")</f>
        <v>-9.3251307199888611E-3</v>
      </c>
      <c r="AR12" s="177">
        <f>IFERROR(Inv_SY_B!AR12/Inv_SY_B!$BZ12-1,"")</f>
        <v>-1.2569469226289098E-2</v>
      </c>
      <c r="AS12" s="177">
        <f>IFERROR(Inv_SY_B!AS12/Inv_SY_B!$BZ12-1,"")</f>
        <v>1.1241893133895342E-3</v>
      </c>
      <c r="AT12" s="177">
        <f>IFERROR(Inv_SY_B!AT12/Inv_SY_B!$BZ12-1,"")</f>
        <v>1.434990339822817E-2</v>
      </c>
      <c r="AU12" s="177">
        <f>IFERROR(Inv_SY_B!AU12/Inv_SY_B!$BZ12-1,"")</f>
        <v>1.5269547373116144E-2</v>
      </c>
      <c r="AV12" s="177">
        <f>IFERROR(Inv_SY_B!AV12/Inv_SY_B!$BZ12-1,"")</f>
        <v>1.7377675031561068E-2</v>
      </c>
      <c r="AW12" s="177">
        <f>IFERROR(Inv_SY_B!AW12/Inv_SY_B!$CA12-1,"")</f>
        <v>-0.34010296376633964</v>
      </c>
      <c r="AX12" s="177">
        <f>IFERROR(Inv_SY_B!AX12/Inv_SY_B!$CA12-1,"")</f>
        <v>-0.3190281924404933</v>
      </c>
      <c r="AY12" s="177">
        <f>IFERROR(Inv_SY_B!AY12/Inv_SY_B!$CA12-1,"")</f>
        <v>6.4211172853731124E-2</v>
      </c>
      <c r="AZ12" s="177">
        <f>IFERROR(Inv_SY_B!AZ12/Inv_SY_B!$CA12-1,"")</f>
        <v>-8.8144706303046383E-2</v>
      </c>
      <c r="BA12" s="177">
        <f>IFERROR(Inv_SY_B!BA12/Inv_SY_B!$CA12-1,"")</f>
        <v>6.821615937215797E-2</v>
      </c>
      <c r="BB12" s="177">
        <f>IFERROR(Inv_SY_B!BB12/Inv_SY_B!$CA12-1,"")</f>
        <v>9.7496344167841142E-2</v>
      </c>
      <c r="BC12" s="177">
        <f>IFERROR(Inv_SY_B!BC12/Inv_SY_B!$CA12-1,"")</f>
        <v>8.6468852390767736E-2</v>
      </c>
      <c r="BD12" s="177">
        <f>IFERROR(Inv_SY_B!BD12/Inv_SY_B!$CA12-1,"")</f>
        <v>0.10732125665923742</v>
      </c>
      <c r="BE12" s="177">
        <f>IFERROR(Inv_SY_B!BE12/Inv_SY_B!$CA12-1,"")</f>
        <v>6.4926624241585795E-2</v>
      </c>
      <c r="BF12" s="177">
        <f>IFERROR(Inv_SY_B!BF12/Inv_SY_B!$CA12-1,"")</f>
        <v>5.3056245444919492E-2</v>
      </c>
      <c r="BG12" s="177">
        <f>IFERROR(Inv_SY_B!BG12/Inv_SY_B!$CA12-1,"")</f>
        <v>8.2046822091883964E-2</v>
      </c>
      <c r="BH12" s="177">
        <f>IFERROR(Inv_SY_B!BH12/Inv_SY_B!$CA12-1,"")</f>
        <v>7.1183291226091683E-2</v>
      </c>
      <c r="BI12" s="177">
        <f>IFERROR(Inv_SY_B!BI12/Inv_SY_B!$CA12-1,"")</f>
        <v>7.411679150516659E-2</v>
      </c>
      <c r="BJ12" s="177">
        <f>IFERROR(Inv_SY_B!BJ12/Inv_SY_B!$CA12-1,"")</f>
        <v>8.1487199472235261E-2</v>
      </c>
      <c r="BK12" s="177">
        <f>IFERROR(Inv_SY_B!BK12/Inv_SY_B!$CA12-1,"")</f>
        <v>8.8281303427599767E-2</v>
      </c>
      <c r="BL12" s="177">
        <f>IFERROR(Inv_SY_B!BL12/Inv_SY_B!$CA12-1,"")</f>
        <v>7.8641195930875929E-2</v>
      </c>
      <c r="BM12" s="177">
        <f>IFERROR(Inv_SY_B!BM12/Inv_SY_B!$CA12-1,"")</f>
        <v>9.3826332487441544E-2</v>
      </c>
      <c r="BN12" s="177">
        <f>IFERROR(Inv_SY_B!BN12/Inv_SY_B!$CA12-1,"")</f>
        <v>9.445118663958918E-2</v>
      </c>
      <c r="BO12" s="177">
        <f>IFERROR(Inv_SY_B!BO12/Inv_SY_B!$CA12-1,"")</f>
        <v>-1.6486636869449955E-2</v>
      </c>
      <c r="BP12" s="177">
        <f>IFERROR(Inv_SY_B!BP12/Inv_SY_B!$CA12-1,"")</f>
        <v>9.2206670600505136E-2</v>
      </c>
      <c r="BQ12" s="177">
        <f>IFERROR(Inv_SY_B!BQ12/Inv_SY_B!$CA12-1,"")</f>
        <v>3.5138941240560273E-2</v>
      </c>
      <c r="BR12" s="177">
        <f>IFERROR(Inv_SY_B!BR12/Inv_SY_B!$CA12-1,"")</f>
        <v>5.5927321058288237E-2</v>
      </c>
      <c r="BS12" s="177">
        <f>IFERROR(Inv_SY_B!BS12/Inv_SY_B!$CA12-1,"")</f>
        <v>-4.8385228463339036E-3</v>
      </c>
      <c r="BT12" s="177">
        <f>IFERROR(Inv_SY_B!BT12/Inv_SY_B!$CA12-1,"")</f>
        <v>1.8036774016075841E-2</v>
      </c>
      <c r="BU12" s="177">
        <f>IFERROR(Inv_SY_B!BU12/Inv_SY_B!$CA12-1,"")</f>
        <v>-0.5302555214981004</v>
      </c>
      <c r="BV12" s="177">
        <f>IFERROR(Inv_SY_B!BV12/Inv_SY_B!$CA12-1,"")</f>
        <v>-0.2248266098877415</v>
      </c>
      <c r="BW12" s="177">
        <f>IFERROR(Inv_SY_B!BW12/Inv_SY_B!$CA12-1,"")</f>
        <v>5.5792557956209743E-2</v>
      </c>
      <c r="BX12" s="177">
        <f>IFERROR(Inv_SY_B!BX12/Inv_SY_B!$CA12-1,"")</f>
        <v>6.0850110828740478E-2</v>
      </c>
    </row>
    <row r="13" spans="1:76">
      <c r="A13"/>
      <c r="B13" s="173">
        <f t="shared" si="1"/>
        <v>45846</v>
      </c>
      <c r="C13" s="177">
        <f>IFERROR(Inv_SY_B!C13/Inv_SY_B!$BY13-1,"")</f>
        <v>5.9077823609459124E-3</v>
      </c>
      <c r="D13" s="177">
        <f>IFERROR(Inv_SY_B!D13/Inv_SY_B!$BY13-1,"")</f>
        <v>1.9651543167733543E-3</v>
      </c>
      <c r="E13" s="177">
        <f>IFERROR(Inv_SY_B!E13/Inv_SY_B!$BY13-1,"")</f>
        <v>-1.1612200269412121E-2</v>
      </c>
      <c r="F13" s="177">
        <f>IFERROR(Inv_SY_B!F13/Inv_SY_B!$BY13-1,"")</f>
        <v>-2.3958127548658004E-2</v>
      </c>
      <c r="G13" s="177">
        <f>IFERROR(Inv_SY_B!G13/Inv_SY_B!$BY13-1,"")</f>
        <v>-1.36465363784668E-2</v>
      </c>
      <c r="H13" s="177">
        <f>IFERROR(Inv_SY_B!H13/Inv_SY_B!$BY13-1,"")</f>
        <v>-1.0594520500881166E-2</v>
      </c>
      <c r="I13" s="177">
        <f>IFERROR(Inv_SY_B!I13/Inv_SY_B!$BY13-1,"")</f>
        <v>5.1751393722692107E-3</v>
      </c>
      <c r="J13" s="177">
        <f>IFERROR(Inv_SY_B!J13/Inv_SY_B!$BY13-1,"")</f>
        <v>1.0161373576615951E-2</v>
      </c>
      <c r="K13" s="177">
        <f>IFERROR(Inv_SY_B!K13/Inv_SY_B!$BY13-1,"")</f>
        <v>-5.2788207593470471E-3</v>
      </c>
      <c r="L13" s="177">
        <f>IFERROR(Inv_SY_B!L13/Inv_SY_B!$BY13-1,"")</f>
        <v>7.255530725259085E-3</v>
      </c>
      <c r="M13" s="177">
        <f>IFERROR(Inv_SY_B!M13/Inv_SY_B!$BY13-1,"")</f>
        <v>2.0832536627579223E-2</v>
      </c>
      <c r="N13" s="177">
        <f>IFERROR(Inv_SY_B!N13/Inv_SY_B!$BY13-1,"")</f>
        <v>-4.7583846281535891E-3</v>
      </c>
      <c r="O13" s="177">
        <f>IFERROR(Inv_SY_B!O13/Inv_SY_B!$BY13-1,"")</f>
        <v>4.292223986650523E-2</v>
      </c>
      <c r="P13" s="177">
        <f>IFERROR(Inv_SY_B!P13/Inv_SY_B!$BY13-1,"")</f>
        <v>-3.8617891291068185E-2</v>
      </c>
      <c r="Q13" s="177">
        <f>IFERROR(Inv_SY_B!Q13/Inv_SY_B!$BY13-1,"")</f>
        <v>-4.1094672327904869E-3</v>
      </c>
      <c r="R13" s="177">
        <f>IFERROR(Inv_SY_B!R13/Inv_SY_B!$BY13-1,"")</f>
        <v>1.4528408238576596E-3</v>
      </c>
      <c r="S13" s="177">
        <f>IFERROR(Inv_SY_B!S13/Inv_SY_B!$BY13-1,"")</f>
        <v>5.0971097145793287E-3</v>
      </c>
      <c r="T13" s="177">
        <f>IFERROR(Inv_SY_B!T13/Inv_SY_B!$BY13-1,"")</f>
        <v>1.6739558174611036E-2</v>
      </c>
      <c r="U13" s="177">
        <f>IFERROR(Inv_SY_B!U13/Inv_SY_B!$BY13-1,"")</f>
        <v>2.033194673217853E-2</v>
      </c>
      <c r="V13" s="177">
        <f>IFERROR(Inv_SY_B!V13/Inv_SY_B!$BY13-1,"")</f>
        <v>2.6613979261790988E-2</v>
      </c>
      <c r="W13" s="177">
        <f>IFERROR(Inv_SY_B!W13/Inv_SY_B!$BY13-1,"")</f>
        <v>-2.3802370160602049E-2</v>
      </c>
      <c r="X13" s="177">
        <f>IFERROR(Inv_SY_B!X13/Inv_SY_B!$BY13-1,"")</f>
        <v>-3.2957329432037663E-2</v>
      </c>
      <c r="Y13" s="177">
        <f>IFERROR(Inv_SY_B!Y13/Inv_SY_B!$BY13-1,"")</f>
        <v>6.6098194889696593E-3</v>
      </c>
      <c r="Z13" s="177">
        <f>IFERROR(Inv_SY_B!Z13/Inv_SY_B!$BY13-1,"")</f>
        <v>7.3646381332814759E-3</v>
      </c>
      <c r="AA13" s="177">
        <f>IFERROR(Inv_SY_B!AA13/Inv_SY_B!$BY13-1,"")</f>
        <v>-4.1926215831984415E-3</v>
      </c>
      <c r="AB13" s="177">
        <f>IFERROR(Inv_SY_B!AB13/Inv_SY_B!$BY13-1,"")</f>
        <v>-2.79721140932776E-4</v>
      </c>
      <c r="AC13" s="177">
        <f>IFERROR(Inv_SY_B!AC13/Inv_SY_B!$BY13-1,"")</f>
        <v>3.2520925222327968E-3</v>
      </c>
      <c r="AD13" s="177">
        <f>IFERROR(Inv_SY_B!AD13/Inv_SY_B!$BY13-1,"")</f>
        <v>-7.8737507719018884E-3</v>
      </c>
      <c r="AE13" s="177">
        <f>IFERROR(Inv_SY_B!AE13/Inv_SY_B!$BZ13-1,"")</f>
        <v>1.2317785396913861E-2</v>
      </c>
      <c r="AF13" s="177">
        <f>IFERROR(Inv_SY_B!AF13/Inv_SY_B!$BZ13-1,"")</f>
        <v>5.0865334562737452E-3</v>
      </c>
      <c r="AG13" s="177">
        <f>IFERROR(Inv_SY_B!AG13/Inv_SY_B!$BZ13-1,"")</f>
        <v>1.206859202058963E-2</v>
      </c>
      <c r="AH13" s="177">
        <f>IFERROR(Inv_SY_B!AH13/Inv_SY_B!$BZ13-1,"")</f>
        <v>6.4347395067922974E-3</v>
      </c>
      <c r="AI13" s="177">
        <f>IFERROR(Inv_SY_B!AI13/Inv_SY_B!$BZ13-1,"")</f>
        <v>1.0212290131487389E-2</v>
      </c>
      <c r="AJ13" s="177">
        <f>IFERROR(Inv_SY_B!AJ13/Inv_SY_B!$BZ13-1,"")</f>
        <v>1.4236877420465532E-2</v>
      </c>
      <c r="AK13" s="177">
        <f>IFERROR(Inv_SY_B!AK13/Inv_SY_B!$BZ13-1,"")</f>
        <v>3.5869414691402923E-3</v>
      </c>
      <c r="AL13" s="177">
        <f>IFERROR(Inv_SY_B!AL13/Inv_SY_B!$BZ13-1,"")</f>
        <v>-3.9173396601269062E-2</v>
      </c>
      <c r="AM13" s="177">
        <f>IFERROR(Inv_SY_B!AM13/Inv_SY_B!$BZ13-1,"")</f>
        <v>-1.1899739272520304E-2</v>
      </c>
      <c r="AN13" s="177">
        <f>IFERROR(Inv_SY_B!AN13/Inv_SY_B!$BZ13-1,"")</f>
        <v>-4.5105227342479015E-3</v>
      </c>
      <c r="AO13" s="177">
        <f>IFERROR(Inv_SY_B!AO13/Inv_SY_B!$BZ13-1,"")</f>
        <v>8.2393840300754029E-4</v>
      </c>
      <c r="AP13" s="177">
        <f>IFERROR(Inv_SY_B!AP13/Inv_SY_B!$BZ13-1,"")</f>
        <v>-6.0120747580680867E-3</v>
      </c>
      <c r="AQ13" s="177">
        <f>IFERROR(Inv_SY_B!AQ13/Inv_SY_B!$BZ13-1,"")</f>
        <v>-7.2287753046493819E-3</v>
      </c>
      <c r="AR13" s="177">
        <f>IFERROR(Inv_SY_B!AR13/Inv_SY_B!$BZ13-1,"")</f>
        <v>-9.8283461759485213E-3</v>
      </c>
      <c r="AS13" s="177">
        <f>IFERROR(Inv_SY_B!AS13/Inv_SY_B!$BZ13-1,"")</f>
        <v>-8.6318554734310382E-4</v>
      </c>
      <c r="AT13" s="177">
        <f>IFERROR(Inv_SY_B!AT13/Inv_SY_B!$BZ13-1,"")</f>
        <v>1.530303678913425E-2</v>
      </c>
      <c r="AU13" s="177">
        <f>IFERROR(Inv_SY_B!AU13/Inv_SY_B!$BZ13-1,"")</f>
        <v>-1.6988050283225031E-2</v>
      </c>
      <c r="AV13" s="177">
        <f>IFERROR(Inv_SY_B!AV13/Inv_SY_B!$BZ13-1,"")</f>
        <v>1.6433356083465078E-2</v>
      </c>
      <c r="AW13" s="177">
        <f>IFERROR(Inv_SY_B!AW13/Inv_SY_B!$CA13-1,"")</f>
        <v>5.4608489723748654E-2</v>
      </c>
      <c r="AX13" s="177">
        <f>IFERROR(Inv_SY_B!AX13/Inv_SY_B!$CA13-1,"")</f>
        <v>3.4954624069408524E-2</v>
      </c>
      <c r="AY13" s="177">
        <f>IFERROR(Inv_SY_B!AY13/Inv_SY_B!$CA13-1,"")</f>
        <v>-0.26610143551576815</v>
      </c>
      <c r="AZ13" s="177">
        <f>IFERROR(Inv_SY_B!AZ13/Inv_SY_B!$CA13-1,"")</f>
        <v>1.2470349214851684E-2</v>
      </c>
      <c r="BA13" s="177">
        <f>IFERROR(Inv_SY_B!BA13/Inv_SY_B!$CA13-1,"")</f>
        <v>2.07095190805755E-2</v>
      </c>
      <c r="BB13" s="177">
        <f>IFERROR(Inv_SY_B!BB13/Inv_SY_B!$CA13-1,"")</f>
        <v>6.0077262719052671E-2</v>
      </c>
      <c r="BC13" s="177">
        <f>IFERROR(Inv_SY_B!BC13/Inv_SY_B!$CA13-1,"")</f>
        <v>3.035820584783111E-2</v>
      </c>
      <c r="BD13" s="177">
        <f>IFERROR(Inv_SY_B!BD13/Inv_SY_B!$CA13-1,"")</f>
        <v>6.6198104289971527E-2</v>
      </c>
      <c r="BE13" s="177">
        <f>IFERROR(Inv_SY_B!BE13/Inv_SY_B!$CA13-1,"")</f>
        <v>3.3539818865797821E-2</v>
      </c>
      <c r="BF13" s="177">
        <f>IFERROR(Inv_SY_B!BF13/Inv_SY_B!$CA13-1,"")</f>
        <v>2.9731180379214184E-2</v>
      </c>
      <c r="BG13" s="177">
        <f>IFERROR(Inv_SY_B!BG13/Inv_SY_B!$CA13-1,"")</f>
        <v>5.2442247519593588E-2</v>
      </c>
      <c r="BH13" s="177">
        <f>IFERROR(Inv_SY_B!BH13/Inv_SY_B!$CA13-1,"")</f>
        <v>4.1127414786573002E-2</v>
      </c>
      <c r="BI13" s="177">
        <f>IFERROR(Inv_SY_B!BI13/Inv_SY_B!$CA13-1,"")</f>
        <v>5.4573457796032843E-2</v>
      </c>
      <c r="BJ13" s="177">
        <f>IFERROR(Inv_SY_B!BJ13/Inv_SY_B!$CA13-1,"")</f>
        <v>6.2373478715076036E-2</v>
      </c>
      <c r="BK13" s="177">
        <f>IFERROR(Inv_SY_B!BK13/Inv_SY_B!$CA13-1,"")</f>
        <v>6.7050360264631736E-2</v>
      </c>
      <c r="BL13" s="177">
        <f>IFERROR(Inv_SY_B!BL13/Inv_SY_B!$CA13-1,"")</f>
        <v>5.4538700201816059E-2</v>
      </c>
      <c r="BM13" s="177">
        <f>IFERROR(Inv_SY_B!BM13/Inv_SY_B!$CA13-1,"")</f>
        <v>6.9198940039420398E-2</v>
      </c>
      <c r="BN13" s="177">
        <f>IFERROR(Inv_SY_B!BN13/Inv_SY_B!$CA13-1,"")</f>
        <v>5.4134398446010534E-2</v>
      </c>
      <c r="BO13" s="177">
        <f>IFERROR(Inv_SY_B!BO13/Inv_SY_B!$CA13-1,"")</f>
        <v>-5.2662886545344456E-2</v>
      </c>
      <c r="BP13" s="177">
        <f>IFERROR(Inv_SY_B!BP13/Inv_SY_B!$CA13-1,"")</f>
        <v>6.2528395922563318E-2</v>
      </c>
      <c r="BQ13" s="177">
        <f>IFERROR(Inv_SY_B!BQ13/Inv_SY_B!$CA13-1,"")</f>
        <v>1.8784213936181793E-2</v>
      </c>
      <c r="BR13" s="177">
        <f>IFERROR(Inv_SY_B!BR13/Inv_SY_B!$CA13-1,"")</f>
        <v>4.2461424245283208E-2</v>
      </c>
      <c r="BS13" s="177">
        <f>IFERROR(Inv_SY_B!BS13/Inv_SY_B!$CA13-1,"")</f>
        <v>-2.7513047421067194E-3</v>
      </c>
      <c r="BT13" s="177">
        <f>IFERROR(Inv_SY_B!BT13/Inv_SY_B!$CA13-1,"")</f>
        <v>1.1592059127025101E-2</v>
      </c>
      <c r="BU13" s="177">
        <f>IFERROR(Inv_SY_B!BU13/Inv_SY_B!$CA13-1,"")</f>
        <v>-0.52348480499213434</v>
      </c>
      <c r="BV13" s="177">
        <f>IFERROR(Inv_SY_B!BV13/Inv_SY_B!$CA13-1,"")</f>
        <v>-0.1580252431953324</v>
      </c>
      <c r="BW13" s="177">
        <f>IFERROR(Inv_SY_B!BW13/Inv_SY_B!$CA13-1,"")</f>
        <v>3.4913192254560022E-2</v>
      </c>
      <c r="BX13" s="177">
        <f>IFERROR(Inv_SY_B!BX13/Inv_SY_B!$CA13-1,"")</f>
        <v>3.4659837545464312E-2</v>
      </c>
    </row>
    <row r="14" spans="1:76">
      <c r="A14"/>
      <c r="B14" s="173">
        <f t="shared" si="1"/>
        <v>45847</v>
      </c>
      <c r="C14" s="177">
        <f>IFERROR(Inv_SY_B!C14/Inv_SY_B!$BY14-1,"")</f>
        <v>-1.3850543688517236E-3</v>
      </c>
      <c r="D14" s="177">
        <f>IFERROR(Inv_SY_B!D14/Inv_SY_B!$BY14-1,"")</f>
        <v>-3.7766718036822411E-3</v>
      </c>
      <c r="E14" s="177">
        <f>IFERROR(Inv_SY_B!E14/Inv_SY_B!$BY14-1,"")</f>
        <v>-1.6754170821723036E-2</v>
      </c>
      <c r="F14" s="177">
        <f>IFERROR(Inv_SY_B!F14/Inv_SY_B!$BY14-1,"")</f>
        <v>-2.7522032906502569E-2</v>
      </c>
      <c r="G14" s="177">
        <f>IFERROR(Inv_SY_B!G14/Inv_SY_B!$BY14-1,"")</f>
        <v>-1.6805511187163336E-2</v>
      </c>
      <c r="H14" s="177">
        <f>IFERROR(Inv_SY_B!H14/Inv_SY_B!$BY14-1,"")</f>
        <v>-1.6209765074023497E-2</v>
      </c>
      <c r="I14" s="177">
        <f>IFERROR(Inv_SY_B!I14/Inv_SY_B!$BY14-1,"")</f>
        <v>-1.0884907867436677E-2</v>
      </c>
      <c r="J14" s="177">
        <f>IFERROR(Inv_SY_B!J14/Inv_SY_B!$BY14-1,"")</f>
        <v>2.121680479784116E-3</v>
      </c>
      <c r="K14" s="177">
        <f>IFERROR(Inv_SY_B!K14/Inv_SY_B!$BY14-1,"")</f>
        <v>-1.0076151101024666E-2</v>
      </c>
      <c r="L14" s="177">
        <f>IFERROR(Inv_SY_B!L14/Inv_SY_B!$BY14-1,"")</f>
        <v>7.3764292036015977E-3</v>
      </c>
      <c r="M14" s="177">
        <f>IFERROR(Inv_SY_B!M14/Inv_SY_B!$BY14-1,"")</f>
        <v>2.2048363749289202E-2</v>
      </c>
      <c r="N14" s="177">
        <f>IFERROR(Inv_SY_B!N14/Inv_SY_B!$BY14-1,"")</f>
        <v>-3.9658800398142402E-3</v>
      </c>
      <c r="O14" s="177">
        <f>IFERROR(Inv_SY_B!O14/Inv_SY_B!$BY14-1,"")</f>
        <v>3.8566538732973443E-2</v>
      </c>
      <c r="P14" s="177">
        <f>IFERROR(Inv_SY_B!P14/Inv_SY_B!$BY14-1,"")</f>
        <v>-3.5216549502499972E-2</v>
      </c>
      <c r="Q14" s="177">
        <f>IFERROR(Inv_SY_B!Q14/Inv_SY_B!$BY14-1,"")</f>
        <v>-5.5040154038560329E-3</v>
      </c>
      <c r="R14" s="177">
        <f>IFERROR(Inv_SY_B!R14/Inv_SY_B!$BY14-1,"")</f>
        <v>-2.671800703281213E-3</v>
      </c>
      <c r="S14" s="177">
        <f>IFERROR(Inv_SY_B!S14/Inv_SY_B!$BY14-1,"")</f>
        <v>1.9474340252061406E-3</v>
      </c>
      <c r="T14" s="177">
        <f>IFERROR(Inv_SY_B!T14/Inv_SY_B!$BY14-1,"")</f>
        <v>1.6705334456168064E-2</v>
      </c>
      <c r="U14" s="177">
        <f>IFERROR(Inv_SY_B!U14/Inv_SY_B!$BY14-1,"")</f>
        <v>1.3520963446864487E-2</v>
      </c>
      <c r="V14" s="177">
        <f>IFERROR(Inv_SY_B!V14/Inv_SY_B!$BY14-1,"")</f>
        <v>1.9459565921855493E-2</v>
      </c>
      <c r="W14" s="177">
        <f>IFERROR(Inv_SY_B!W14/Inv_SY_B!$BY14-1,"")</f>
        <v>-1.3319353908100573E-2</v>
      </c>
      <c r="X14" s="177">
        <f>IFERROR(Inv_SY_B!X14/Inv_SY_B!$BY14-1,"")</f>
        <v>-2.1753093305406868E-2</v>
      </c>
      <c r="Y14" s="177">
        <f>IFERROR(Inv_SY_B!Y14/Inv_SY_B!$BY14-1,"")</f>
        <v>1.7909795283563179E-2</v>
      </c>
      <c r="Z14" s="177">
        <f>IFERROR(Inv_SY_B!Z14/Inv_SY_B!$BY14-1,"")</f>
        <v>2.0556150665484108E-2</v>
      </c>
      <c r="AA14" s="177">
        <f>IFERROR(Inv_SY_B!AA14/Inv_SY_B!$BY14-1,"")</f>
        <v>5.9161225100679005E-3</v>
      </c>
      <c r="AB14" s="177">
        <f>IFERROR(Inv_SY_B!AB14/Inv_SY_B!$BY14-1,"")</f>
        <v>4.5693638505535095E-3</v>
      </c>
      <c r="AC14" s="177">
        <f>IFERROR(Inv_SY_B!AC14/Inv_SY_B!$BY14-1,"")</f>
        <v>1.229896676909159E-2</v>
      </c>
      <c r="AD14" s="177">
        <f>IFERROR(Inv_SY_B!AD14/Inv_SY_B!$BY14-1,"")</f>
        <v>2.8482488988672561E-3</v>
      </c>
      <c r="AE14" s="177">
        <f>IFERROR(Inv_SY_B!AE14/Inv_SY_B!$BZ14-1,"")</f>
        <v>7.3298249550113326E-3</v>
      </c>
      <c r="AF14" s="177">
        <f>IFERROR(Inv_SY_B!AF14/Inv_SY_B!$BZ14-1,"")</f>
        <v>-7.9899928272653131E-4</v>
      </c>
      <c r="AG14" s="177">
        <f>IFERROR(Inv_SY_B!AG14/Inv_SY_B!$BZ14-1,"")</f>
        <v>4.9948419919854103E-3</v>
      </c>
      <c r="AH14" s="177">
        <f>IFERROR(Inv_SY_B!AH14/Inv_SY_B!$BZ14-1,"")</f>
        <v>-1.830082066015648E-3</v>
      </c>
      <c r="AI14" s="177">
        <f>IFERROR(Inv_SY_B!AI14/Inv_SY_B!$BZ14-1,"")</f>
        <v>5.1930937573494429E-3</v>
      </c>
      <c r="AJ14" s="177">
        <f>IFERROR(Inv_SY_B!AJ14/Inv_SY_B!$BZ14-1,"")</f>
        <v>9.613179935430427E-3</v>
      </c>
      <c r="AK14" s="177">
        <f>IFERROR(Inv_SY_B!AK14/Inv_SY_B!$BZ14-1,"")</f>
        <v>-2.200785036603925E-3</v>
      </c>
      <c r="AL14" s="177">
        <f>IFERROR(Inv_SY_B!AL14/Inv_SY_B!$BZ14-1,"")</f>
        <v>-2.481128549033651E-2</v>
      </c>
      <c r="AM14" s="177">
        <f>IFERROR(Inv_SY_B!AM14/Inv_SY_B!$BZ14-1,"")</f>
        <v>-1.0825771613193313E-2</v>
      </c>
      <c r="AN14" s="177">
        <f>IFERROR(Inv_SY_B!AN14/Inv_SY_B!$BZ14-1,"")</f>
        <v>-3.2030213643926553E-3</v>
      </c>
      <c r="AO14" s="177">
        <f>IFERROR(Inv_SY_B!AO14/Inv_SY_B!$BZ14-1,"")</f>
        <v>1.3776221337400418E-3</v>
      </c>
      <c r="AP14" s="177">
        <f>IFERROR(Inv_SY_B!AP14/Inv_SY_B!$BZ14-1,"")</f>
        <v>-6.7696292789690693E-3</v>
      </c>
      <c r="AQ14" s="177">
        <f>IFERROR(Inv_SY_B!AQ14/Inv_SY_B!$BZ14-1,"")</f>
        <v>-7.136052732039877E-3</v>
      </c>
      <c r="AR14" s="177">
        <f>IFERROR(Inv_SY_B!AR14/Inv_SY_B!$BZ14-1,"")</f>
        <v>-8.9556029017419103E-3</v>
      </c>
      <c r="AS14" s="177">
        <f>IFERROR(Inv_SY_B!AS14/Inv_SY_B!$BZ14-1,"")</f>
        <v>-5.2702034824925192E-3</v>
      </c>
      <c r="AT14" s="177">
        <f>IFERROR(Inv_SY_B!AT14/Inv_SY_B!$BZ14-1,"")</f>
        <v>1.2076324298506691E-2</v>
      </c>
      <c r="AU14" s="177">
        <f>IFERROR(Inv_SY_B!AU14/Inv_SY_B!$BZ14-1,"")</f>
        <v>1.5523434564137961E-2</v>
      </c>
      <c r="AV14" s="177">
        <f>IFERROR(Inv_SY_B!AV14/Inv_SY_B!$BZ14-1,"")</f>
        <v>1.569311161235154E-2</v>
      </c>
      <c r="AW14" s="177">
        <f>IFERROR(Inv_SY_B!AW14/Inv_SY_B!$CA14-1,"")</f>
        <v>4.6030023724655811E-2</v>
      </c>
      <c r="AX14" s="177">
        <f>IFERROR(Inv_SY_B!AX14/Inv_SY_B!$CA14-1,"")</f>
        <v>3.0276956764319074E-3</v>
      </c>
      <c r="AY14" s="177">
        <f>IFERROR(Inv_SY_B!AY14/Inv_SY_B!$CA14-1,"")</f>
        <v>-2.1298655007410128E-3</v>
      </c>
      <c r="AZ14" s="177">
        <f>IFERROR(Inv_SY_B!AZ14/Inv_SY_B!$CA14-1,"")</f>
        <v>7.4357263465643308E-2</v>
      </c>
      <c r="BA14" s="177">
        <f>IFERROR(Inv_SY_B!BA14/Inv_SY_B!$CA14-1,"")</f>
        <v>6.8866905153295299E-3</v>
      </c>
      <c r="BB14" s="177">
        <f>IFERROR(Inv_SY_B!BB14/Inv_SY_B!$CA14-1,"")</f>
        <v>4.4745966069220433E-2</v>
      </c>
      <c r="BC14" s="177">
        <f>IFERROR(Inv_SY_B!BC14/Inv_SY_B!$CA14-1,"")</f>
        <v>3.5638038449151699E-2</v>
      </c>
      <c r="BD14" s="177">
        <f>IFERROR(Inv_SY_B!BD14/Inv_SY_B!$CA14-1,"")</f>
        <v>5.2846048561737247E-2</v>
      </c>
      <c r="BE14" s="177">
        <f>IFERROR(Inv_SY_B!BE14/Inv_SY_B!$CA14-1,"")</f>
        <v>2.5731690793232787E-2</v>
      </c>
      <c r="BF14" s="177">
        <f>IFERROR(Inv_SY_B!BF14/Inv_SY_B!$CA14-1,"")</f>
        <v>2.0600032559734194E-2</v>
      </c>
      <c r="BG14" s="177">
        <f>IFERROR(Inv_SY_B!BG14/Inv_SY_B!$CA14-1,"")</f>
        <v>4.6481766055691986E-2</v>
      </c>
      <c r="BH14" s="177">
        <f>IFERROR(Inv_SY_B!BH14/Inv_SY_B!$CA14-1,"")</f>
        <v>3.47638573793565E-2</v>
      </c>
      <c r="BI14" s="177">
        <f>IFERROR(Inv_SY_B!BI14/Inv_SY_B!$CA14-1,"")</f>
        <v>3.9616956829816807E-2</v>
      </c>
      <c r="BJ14" s="177">
        <f>IFERROR(Inv_SY_B!BJ14/Inv_SY_B!$CA14-1,"")</f>
        <v>4.6701918520170027E-2</v>
      </c>
      <c r="BK14" s="177">
        <f>IFERROR(Inv_SY_B!BK14/Inv_SY_B!$CA14-1,"")</f>
        <v>5.2688524734401998E-2</v>
      </c>
      <c r="BL14" s="177">
        <f>IFERROR(Inv_SY_B!BL14/Inv_SY_B!$CA14-1,"")</f>
        <v>4.1775190097450121E-2</v>
      </c>
      <c r="BM14" s="177">
        <f>IFERROR(Inv_SY_B!BM14/Inv_SY_B!$CA14-1,"")</f>
        <v>5.2921032522207812E-2</v>
      </c>
      <c r="BN14" s="177">
        <f>IFERROR(Inv_SY_B!BN14/Inv_SY_B!$CA14-1,"")</f>
        <v>4.3442507620876647E-2</v>
      </c>
      <c r="BO14" s="177">
        <f>IFERROR(Inv_SY_B!BO14/Inv_SY_B!$CA14-1,"")</f>
        <v>-6.6815690854394094E-2</v>
      </c>
      <c r="BP14" s="177">
        <f>IFERROR(Inv_SY_B!BP14/Inv_SY_B!$CA14-1,"")</f>
        <v>4.4754053006433647E-2</v>
      </c>
      <c r="BQ14" s="177">
        <f>IFERROR(Inv_SY_B!BQ14/Inv_SY_B!$CA14-1,"")</f>
        <v>3.141664905683017E-3</v>
      </c>
      <c r="BR14" s="177">
        <f>IFERROR(Inv_SY_B!BR14/Inv_SY_B!$CA14-1,"")</f>
        <v>2.7062547704743478E-2</v>
      </c>
      <c r="BS14" s="177">
        <f>IFERROR(Inv_SY_B!BS14/Inv_SY_B!$CA14-1,"")</f>
        <v>-2.6393003652580016E-2</v>
      </c>
      <c r="BT14" s="177">
        <f>IFERROR(Inv_SY_B!BT14/Inv_SY_B!$CA14-1,"")</f>
        <v>-4.8634155991010841E-3</v>
      </c>
      <c r="BU14" s="177">
        <f>IFERROR(Inv_SY_B!BU14/Inv_SY_B!$CA14-1,"")</f>
        <v>-0.53195059964010316</v>
      </c>
      <c r="BV14" s="177">
        <f>IFERROR(Inv_SY_B!BV14/Inv_SY_B!$CA14-1,"")</f>
        <v>-0.15563589054587412</v>
      </c>
      <c r="BW14" s="177">
        <f>IFERROR(Inv_SY_B!BW14/Inv_SY_B!$CA14-1,"")</f>
        <v>2.2107691205726976E-2</v>
      </c>
      <c r="BX14" s="177">
        <f>IFERROR(Inv_SY_B!BX14/Inv_SY_B!$CA14-1,"")</f>
        <v>2.2467305395094783E-2</v>
      </c>
    </row>
    <row r="15" spans="1:76">
      <c r="A15"/>
      <c r="B15" s="173">
        <f t="shared" si="1"/>
        <v>45848</v>
      </c>
      <c r="C15" s="177">
        <f>IFERROR(Inv_SY_B!C15/Inv_SY_B!$BY15-1,"")</f>
        <v>4.4295150255477811E-3</v>
      </c>
      <c r="D15" s="177">
        <f>IFERROR(Inv_SY_B!D15/Inv_SY_B!$BY15-1,"")</f>
        <v>1.7341376407409292E-3</v>
      </c>
      <c r="E15" s="177">
        <f>IFERROR(Inv_SY_B!E15/Inv_SY_B!$BY15-1,"")</f>
        <v>-8.3763949750346178E-3</v>
      </c>
      <c r="F15" s="177">
        <f>IFERROR(Inv_SY_B!F15/Inv_SY_B!$BY15-1,"")</f>
        <v>-2.2315074159047099E-2</v>
      </c>
      <c r="G15" s="177">
        <f>IFERROR(Inv_SY_B!G15/Inv_SY_B!$BY15-1,"")</f>
        <v>-9.6524322029593046E-3</v>
      </c>
      <c r="H15" s="177">
        <f>IFERROR(Inv_SY_B!H15/Inv_SY_B!$BY15-1,"")</f>
        <v>-7.7462363244420462E-3</v>
      </c>
      <c r="I15" s="177">
        <f>IFERROR(Inv_SY_B!I15/Inv_SY_B!$BY15-1,"")</f>
        <v>8.1845413636780773E-3</v>
      </c>
      <c r="J15" s="177">
        <f>IFERROR(Inv_SY_B!J15/Inv_SY_B!$BY15-1,"")</f>
        <v>1.1354606468408246E-2</v>
      </c>
      <c r="K15" s="177">
        <f>IFERROR(Inv_SY_B!K15/Inv_SY_B!$BY15-1,"")</f>
        <v>-2.8048006911954748E-2</v>
      </c>
      <c r="L15" s="177">
        <f>IFERROR(Inv_SY_B!L15/Inv_SY_B!$BY15-1,"")</f>
        <v>1.1289886211902189E-2</v>
      </c>
      <c r="M15" s="177">
        <f>IFERROR(Inv_SY_B!M15/Inv_SY_B!$BY15-1,"")</f>
        <v>2.3852096260082112E-2</v>
      </c>
      <c r="N15" s="177">
        <f>IFERROR(Inv_SY_B!N15/Inv_SY_B!$BY15-1,"")</f>
        <v>-7.9558124430223476E-4</v>
      </c>
      <c r="O15" s="177">
        <f>IFERROR(Inv_SY_B!O15/Inv_SY_B!$BY15-1,"")</f>
        <v>4.1455016272463396E-2</v>
      </c>
      <c r="P15" s="177">
        <f>IFERROR(Inv_SY_B!P15/Inv_SY_B!$BY15-1,"")</f>
        <v>-3.2714283381874876E-2</v>
      </c>
      <c r="Q15" s="177">
        <f>IFERROR(Inv_SY_B!Q15/Inv_SY_B!$BY15-1,"")</f>
        <v>-2.9807442447072896E-3</v>
      </c>
      <c r="R15" s="177">
        <f>IFERROR(Inv_SY_B!R15/Inv_SY_B!$BY15-1,"")</f>
        <v>-5.3082122968017842E-4</v>
      </c>
      <c r="S15" s="177">
        <f>IFERROR(Inv_SY_B!S15/Inv_SY_B!$BY15-1,"")</f>
        <v>-2.6652568466056792E-4</v>
      </c>
      <c r="T15" s="177">
        <f>IFERROR(Inv_SY_B!T15/Inv_SY_B!$BY15-1,"")</f>
        <v>1.3461033127537991E-2</v>
      </c>
      <c r="U15" s="177">
        <f>IFERROR(Inv_SY_B!U15/Inv_SY_B!$BY15-1,"")</f>
        <v>9.3709457450035227E-3</v>
      </c>
      <c r="V15" s="177">
        <f>IFERROR(Inv_SY_B!V15/Inv_SY_B!$BY15-1,"")</f>
        <v>1.5810278767951491E-2</v>
      </c>
      <c r="W15" s="177">
        <f>IFERROR(Inv_SY_B!W15/Inv_SY_B!$BY15-1,"")</f>
        <v>-2.9999257783666078E-2</v>
      </c>
      <c r="X15" s="177">
        <f>IFERROR(Inv_SY_B!X15/Inv_SY_B!$BY15-1,"")</f>
        <v>-2.9880420545458364E-2</v>
      </c>
      <c r="Y15" s="177">
        <f>IFERROR(Inv_SY_B!Y15/Inv_SY_B!$BY15-1,"")</f>
        <v>1.0653900235174651E-2</v>
      </c>
      <c r="Z15" s="177">
        <f>IFERROR(Inv_SY_B!Z15/Inv_SY_B!$BY15-1,"")</f>
        <v>1.3080651509515429E-2</v>
      </c>
      <c r="AA15" s="177">
        <f>IFERROR(Inv_SY_B!AA15/Inv_SY_B!$BY15-1,"")</f>
        <v>8.117676179039135E-3</v>
      </c>
      <c r="AB15" s="177">
        <f>IFERROR(Inv_SY_B!AB15/Inv_SY_B!$BY15-1,"")</f>
        <v>-9.8772279212422376E-4</v>
      </c>
      <c r="AC15" s="177">
        <f>IFERROR(Inv_SY_B!AC15/Inv_SY_B!$BY15-1,"")</f>
        <v>5.4073477400793379E-3</v>
      </c>
      <c r="AD15" s="177">
        <f>IFERROR(Inv_SY_B!AD15/Inv_SY_B!$BY15-1,"")</f>
        <v>-3.9081310672122171E-3</v>
      </c>
      <c r="AE15" s="177">
        <f>IFERROR(Inv_SY_B!AE15/Inv_SY_B!$BZ15-1,"")</f>
        <v>4.9949796609429775E-3</v>
      </c>
      <c r="AF15" s="177">
        <f>IFERROR(Inv_SY_B!AF15/Inv_SY_B!$BZ15-1,"")</f>
        <v>-1.5599815855360522E-4</v>
      </c>
      <c r="AG15" s="177">
        <f>IFERROR(Inv_SY_B!AG15/Inv_SY_B!$BZ15-1,"")</f>
        <v>8.0578323962177123E-3</v>
      </c>
      <c r="AH15" s="177">
        <f>IFERROR(Inv_SY_B!AH15/Inv_SY_B!$BZ15-1,"")</f>
        <v>1.0167466724710916E-3</v>
      </c>
      <c r="AI15" s="177">
        <f>IFERROR(Inv_SY_B!AI15/Inv_SY_B!$BZ15-1,"")</f>
        <v>5.9035377375542542E-3</v>
      </c>
      <c r="AJ15" s="177">
        <f>IFERROR(Inv_SY_B!AJ15/Inv_SY_B!$BZ15-1,"")</f>
        <v>1.1157546134446639E-2</v>
      </c>
      <c r="AK15" s="177">
        <f>IFERROR(Inv_SY_B!AK15/Inv_SY_B!$BZ15-1,"")</f>
        <v>-2.5035810589962848E-3</v>
      </c>
      <c r="AL15" s="177">
        <f>IFERROR(Inv_SY_B!AL15/Inv_SY_B!$BZ15-1,"")</f>
        <v>-7.1814717712598175E-2</v>
      </c>
      <c r="AM15" s="177">
        <f>IFERROR(Inv_SY_B!AM15/Inv_SY_B!$BZ15-1,"")</f>
        <v>-2.9681856118862759E-3</v>
      </c>
      <c r="AN15" s="177">
        <f>IFERROR(Inv_SY_B!AN15/Inv_SY_B!$BZ15-1,"")</f>
        <v>5.4178585853335015E-3</v>
      </c>
      <c r="AO15" s="177">
        <f>IFERROR(Inv_SY_B!AO15/Inv_SY_B!$BZ15-1,"")</f>
        <v>8.9224740707387618E-3</v>
      </c>
      <c r="AP15" s="177">
        <f>IFERROR(Inv_SY_B!AP15/Inv_SY_B!$BZ15-1,"")</f>
        <v>1.2964414753446896E-4</v>
      </c>
      <c r="AQ15" s="177">
        <f>IFERROR(Inv_SY_B!AQ15/Inv_SY_B!$BZ15-1,"")</f>
        <v>4.9816382930134573E-4</v>
      </c>
      <c r="AR15" s="177">
        <f>IFERROR(Inv_SY_B!AR15/Inv_SY_B!$BZ15-1,"")</f>
        <v>-1.1094877562338734E-3</v>
      </c>
      <c r="AS15" s="177">
        <f>IFERROR(Inv_SY_B!AS15/Inv_SY_B!$BZ15-1,"")</f>
        <v>-4.6609241628067233E-3</v>
      </c>
      <c r="AT15" s="177">
        <f>IFERROR(Inv_SY_B!AT15/Inv_SY_B!$BZ15-1,"")</f>
        <v>1.023737080998588E-2</v>
      </c>
      <c r="AU15" s="177">
        <f>IFERROR(Inv_SY_B!AU15/Inv_SY_B!$BZ15-1,"")</f>
        <v>1.1751601332261385E-2</v>
      </c>
      <c r="AV15" s="177">
        <f>IFERROR(Inv_SY_B!AV15/Inv_SY_B!$BZ15-1,"")</f>
        <v>1.5125139084287254E-2</v>
      </c>
      <c r="AW15" s="177">
        <f>IFERROR(Inv_SY_B!AW15/Inv_SY_B!$CA15-1,"")</f>
        <v>2.8438439648416303E-2</v>
      </c>
      <c r="AX15" s="177">
        <f>IFERROR(Inv_SY_B!AX15/Inv_SY_B!$CA15-1,"")</f>
        <v>3.9645451396839171E-2</v>
      </c>
      <c r="AY15" s="177">
        <f>IFERROR(Inv_SY_B!AY15/Inv_SY_B!$CA15-1,"")</f>
        <v>-1.124946880172506E-2</v>
      </c>
      <c r="AZ15" s="177">
        <f>IFERROR(Inv_SY_B!AZ15/Inv_SY_B!$CA15-1,"")</f>
        <v>5.8447217898535797E-2</v>
      </c>
      <c r="BA15" s="177">
        <f>IFERROR(Inv_SY_B!BA15/Inv_SY_B!$CA15-1,"")</f>
        <v>-4.9291793661566663E-3</v>
      </c>
      <c r="BB15" s="177">
        <f>IFERROR(Inv_SY_B!BB15/Inv_SY_B!$CA15-1,"")</f>
        <v>3.4104320262623888E-2</v>
      </c>
      <c r="BC15" s="177">
        <f>IFERROR(Inv_SY_B!BC15/Inv_SY_B!$CA15-1,"")</f>
        <v>2.2654669301159114E-2</v>
      </c>
      <c r="BD15" s="177">
        <f>IFERROR(Inv_SY_B!BD15/Inv_SY_B!$CA15-1,"")</f>
        <v>2.5054790916263947E-2</v>
      </c>
      <c r="BE15" s="177">
        <f>IFERROR(Inv_SY_B!BE15/Inv_SY_B!$CA15-1,"")</f>
        <v>1.7187126936887509E-2</v>
      </c>
      <c r="BF15" s="177">
        <f>IFERROR(Inv_SY_B!BF15/Inv_SY_B!$CA15-1,"")</f>
        <v>1.8997502175207348E-2</v>
      </c>
      <c r="BG15" s="177">
        <f>IFERROR(Inv_SY_B!BG15/Inv_SY_B!$CA15-1,"")</f>
        <v>3.8172345129198648E-2</v>
      </c>
      <c r="BH15" s="177">
        <f>IFERROR(Inv_SY_B!BH15/Inv_SY_B!$CA15-1,"")</f>
        <v>9.1199739059200091E-3</v>
      </c>
      <c r="BI15" s="177">
        <f>IFERROR(Inv_SY_B!BI15/Inv_SY_B!$CA15-1,"")</f>
        <v>4.1875235499528429E-2</v>
      </c>
      <c r="BJ15" s="177">
        <f>IFERROR(Inv_SY_B!BJ15/Inv_SY_B!$CA15-1,"")</f>
        <v>4.9919494089186722E-2</v>
      </c>
      <c r="BK15" s="177">
        <f>IFERROR(Inv_SY_B!BK15/Inv_SY_B!$CA15-1,"")</f>
        <v>5.3653906040502575E-2</v>
      </c>
      <c r="BL15" s="177">
        <f>IFERROR(Inv_SY_B!BL15/Inv_SY_B!$CA15-1,"")</f>
        <v>4.0186902400039859E-2</v>
      </c>
      <c r="BM15" s="177">
        <f>IFERROR(Inv_SY_B!BM15/Inv_SY_B!$CA15-1,"")</f>
        <v>4.7089682124405119E-2</v>
      </c>
      <c r="BN15" s="177">
        <f>IFERROR(Inv_SY_B!BN15/Inv_SY_B!$CA15-1,"")</f>
        <v>3.4972910881251096E-2</v>
      </c>
      <c r="BO15" s="177">
        <f>IFERROR(Inv_SY_B!BO15/Inv_SY_B!$CA15-1,"")</f>
        <v>-5.61500513240627E-2</v>
      </c>
      <c r="BP15" s="177">
        <f>IFERROR(Inv_SY_B!BP15/Inv_SY_B!$CA15-1,"")</f>
        <v>4.115580138366659E-2</v>
      </c>
      <c r="BQ15" s="177">
        <f>IFERROR(Inv_SY_B!BQ15/Inv_SY_B!$CA15-1,"")</f>
        <v>5.7325363461353529E-3</v>
      </c>
      <c r="BR15" s="177">
        <f>IFERROR(Inv_SY_B!BR15/Inv_SY_B!$CA15-1,"")</f>
        <v>2.9477915843685309E-2</v>
      </c>
      <c r="BS15" s="177">
        <f>IFERROR(Inv_SY_B!BS15/Inv_SY_B!$CA15-1,"")</f>
        <v>-1.4457116824545091E-2</v>
      </c>
      <c r="BT15" s="177">
        <f>IFERROR(Inv_SY_B!BT15/Inv_SY_B!$CA15-1,"")</f>
        <v>6.9493703773004789E-4</v>
      </c>
      <c r="BU15" s="177">
        <f>IFERROR(Inv_SY_B!BU15/Inv_SY_B!$CA15-1,"")</f>
        <v>-0.52025942986626439</v>
      </c>
      <c r="BV15" s="177">
        <f>IFERROR(Inv_SY_B!BV15/Inv_SY_B!$CA15-1,"")</f>
        <v>-8.0627983410230364E-2</v>
      </c>
      <c r="BW15" s="177">
        <f>IFERROR(Inv_SY_B!BW15/Inv_SY_B!$CA15-1,"")</f>
        <v>2.6063791996224994E-2</v>
      </c>
      <c r="BX15" s="177">
        <f>IFERROR(Inv_SY_B!BX15/Inv_SY_B!$CA15-1,"")</f>
        <v>2.5028278379574109E-2</v>
      </c>
    </row>
    <row r="16" spans="1:76">
      <c r="A16"/>
      <c r="B16" s="173">
        <f t="shared" si="1"/>
        <v>45849</v>
      </c>
      <c r="C16" s="177">
        <f>IFERROR(Inv_SY_B!C16/Inv_SY_B!$BY16-1,"")</f>
        <v>1.0008601950493246E-2</v>
      </c>
      <c r="D16" s="177">
        <f>IFERROR(Inv_SY_B!D16/Inv_SY_B!$BY16-1,"")</f>
        <v>1.3012991070522339E-3</v>
      </c>
      <c r="E16" s="177">
        <f>IFERROR(Inv_SY_B!E16/Inv_SY_B!$BY16-1,"")</f>
        <v>1.1005054818976845E-2</v>
      </c>
      <c r="F16" s="177">
        <f>IFERROR(Inv_SY_B!F16/Inv_SY_B!$BY16-1,"")</f>
        <v>9.7526345469045594E-4</v>
      </c>
      <c r="G16" s="177">
        <f>IFERROR(Inv_SY_B!G16/Inv_SY_B!$BY16-1,"")</f>
        <v>-3.7240071835786259E-2</v>
      </c>
      <c r="H16" s="177">
        <f>IFERROR(Inv_SY_B!H16/Inv_SY_B!$BY16-1,"")</f>
        <v>-4.4105076363043727E-2</v>
      </c>
      <c r="I16" s="177">
        <f>IFERROR(Inv_SY_B!I16/Inv_SY_B!$BY16-1,"")</f>
        <v>-1.4802535897149305E-3</v>
      </c>
      <c r="J16" s="177">
        <f>IFERROR(Inv_SY_B!J16/Inv_SY_B!$BY16-1,"")</f>
        <v>-3.8808730194910823E-2</v>
      </c>
      <c r="K16" s="177">
        <f>IFERROR(Inv_SY_B!K16/Inv_SY_B!$BY16-1,"")</f>
        <v>7.3690611797316841E-4</v>
      </c>
      <c r="L16" s="177">
        <f>IFERROR(Inv_SY_B!L16/Inv_SY_B!$BY16-1,"")</f>
        <v>2.1953552672330012E-2</v>
      </c>
      <c r="M16" s="177">
        <f>IFERROR(Inv_SY_B!M16/Inv_SY_B!$BY16-1,"")</f>
        <v>3.6807812566778342E-2</v>
      </c>
      <c r="N16" s="177">
        <f>IFERROR(Inv_SY_B!N16/Inv_SY_B!$BY16-1,"")</f>
        <v>1.1102910378484321E-2</v>
      </c>
      <c r="O16" s="177">
        <f>IFERROR(Inv_SY_B!O16/Inv_SY_B!$BY16-1,"")</f>
        <v>6.637490909412147E-2</v>
      </c>
      <c r="P16" s="177">
        <f>IFERROR(Inv_SY_B!P16/Inv_SY_B!$BY16-1,"")</f>
        <v>-1.3085498552171781E-2</v>
      </c>
      <c r="Q16" s="177">
        <f>IFERROR(Inv_SY_B!Q16/Inv_SY_B!$BY16-1,"")</f>
        <v>1.3370408361601083E-2</v>
      </c>
      <c r="R16" s="177">
        <f>IFERROR(Inv_SY_B!R16/Inv_SY_B!$BY16-1,"")</f>
        <v>2.703691946413489E-2</v>
      </c>
      <c r="S16" s="177">
        <f>IFERROR(Inv_SY_B!S16/Inv_SY_B!$BY16-1,"")</f>
        <v>9.8715838477170248E-3</v>
      </c>
      <c r="T16" s="177">
        <f>IFERROR(Inv_SY_B!T16/Inv_SY_B!$BY16-1,"")</f>
        <v>-2.3206848652742584E-2</v>
      </c>
      <c r="U16" s="177">
        <f>IFERROR(Inv_SY_B!U16/Inv_SY_B!$BY16-1,"")</f>
        <v>1.7365063817865067E-2</v>
      </c>
      <c r="V16" s="177">
        <f>IFERROR(Inv_SY_B!V16/Inv_SY_B!$BY16-1,"")</f>
        <v>1.1035238328992447E-2</v>
      </c>
      <c r="W16" s="177">
        <f>IFERROR(Inv_SY_B!W16/Inv_SY_B!$BY16-1,"")</f>
        <v>-3.8433131585151381E-2</v>
      </c>
      <c r="X16" s="177">
        <f>IFERROR(Inv_SY_B!X16/Inv_SY_B!$BY16-1,"")</f>
        <v>-1.8483685456470944E-2</v>
      </c>
      <c r="Y16" s="177">
        <f>IFERROR(Inv_SY_B!Y16/Inv_SY_B!$BY16-1,"")</f>
        <v>-3.9169032468173715E-3</v>
      </c>
      <c r="Z16" s="177">
        <f>IFERROR(Inv_SY_B!Z16/Inv_SY_B!$BY16-1,"")</f>
        <v>-4.7386260181412343E-3</v>
      </c>
      <c r="AA16" s="177">
        <f>IFERROR(Inv_SY_B!AA16/Inv_SY_B!$BY16-1,"")</f>
        <v>5.7806578283443599E-3</v>
      </c>
      <c r="AB16" s="177">
        <f>IFERROR(Inv_SY_B!AB16/Inv_SY_B!$BY16-1,"")</f>
        <v>1.7064510748538986E-3</v>
      </c>
      <c r="AC16" s="177">
        <f>IFERROR(Inv_SY_B!AC16/Inv_SY_B!$BY16-1,"")</f>
        <v>-5.8155650463542763E-3</v>
      </c>
      <c r="AD16" s="177">
        <f>IFERROR(Inv_SY_B!AD16/Inv_SY_B!$BY16-1,"")</f>
        <v>-1.7118242343103662E-2</v>
      </c>
      <c r="AE16" s="177">
        <f>IFERROR(Inv_SY_B!AE16/Inv_SY_B!$BZ16-1,"")</f>
        <v>8.1104958819817607E-3</v>
      </c>
      <c r="AF16" s="177">
        <f>IFERROR(Inv_SY_B!AF16/Inv_SY_B!$BZ16-1,"")</f>
        <v>-7.2181441871677077E-3</v>
      </c>
      <c r="AG16" s="177">
        <f>IFERROR(Inv_SY_B!AG16/Inv_SY_B!$BZ16-1,"")</f>
        <v>2.0375397108411963E-3</v>
      </c>
      <c r="AH16" s="177">
        <f>IFERROR(Inv_SY_B!AH16/Inv_SY_B!$BZ16-1,"")</f>
        <v>-1.122637523422565E-2</v>
      </c>
      <c r="AI16" s="177">
        <f>IFERROR(Inv_SY_B!AI16/Inv_SY_B!$BZ16-1,"")</f>
        <v>8.3723873102090618E-3</v>
      </c>
      <c r="AJ16" s="177">
        <f>IFERROR(Inv_SY_B!AJ16/Inv_SY_B!$BZ16-1,"")</f>
        <v>9.9867483902931209E-3</v>
      </c>
      <c r="AK16" s="177">
        <f>IFERROR(Inv_SY_B!AK16/Inv_SY_B!$BZ16-1,"")</f>
        <v>-9.219888193078396E-3</v>
      </c>
      <c r="AL16" s="177">
        <f>IFERROR(Inv_SY_B!AL16/Inv_SY_B!$BZ16-1,"")</f>
        <v>-2.7575166188582467E-2</v>
      </c>
      <c r="AM16" s="177">
        <f>IFERROR(Inv_SY_B!AM16/Inv_SY_B!$BZ16-1,"")</f>
        <v>4.3848523302696396E-3</v>
      </c>
      <c r="AN16" s="177">
        <f>IFERROR(Inv_SY_B!AN16/Inv_SY_B!$BZ16-1,"")</f>
        <v>7.9187660578354802E-3</v>
      </c>
      <c r="AO16" s="177">
        <f>IFERROR(Inv_SY_B!AO16/Inv_SY_B!$BZ16-1,"")</f>
        <v>1.4425002571764489E-2</v>
      </c>
      <c r="AP16" s="177">
        <f>IFERROR(Inv_SY_B!AP16/Inv_SY_B!$BZ16-1,"")</f>
        <v>-3.1735033327058737E-2</v>
      </c>
      <c r="AQ16" s="177">
        <f>IFERROR(Inv_SY_B!AQ16/Inv_SY_B!$BZ16-1,"")</f>
        <v>-6.859107905747841E-4</v>
      </c>
      <c r="AR16" s="177">
        <f>IFERROR(Inv_SY_B!AR16/Inv_SY_B!$BZ16-1,"")</f>
        <v>-1.6066525636100337E-3</v>
      </c>
      <c r="AS16" s="177">
        <f>IFERROR(Inv_SY_B!AS16/Inv_SY_B!$BZ16-1,"")</f>
        <v>4.279433542932809E-3</v>
      </c>
      <c r="AT16" s="177">
        <f>IFERROR(Inv_SY_B!AT16/Inv_SY_B!$BZ16-1,"")</f>
        <v>-8.354226944575105E-3</v>
      </c>
      <c r="AU16" s="177">
        <f>IFERROR(Inv_SY_B!AU16/Inv_SY_B!$BZ16-1,"")</f>
        <v>3.1693704102312648E-2</v>
      </c>
      <c r="AV16" s="177">
        <f>IFERROR(Inv_SY_B!AV16/Inv_SY_B!$BZ16-1,"")</f>
        <v>6.4124675304313428E-3</v>
      </c>
      <c r="AW16" s="177">
        <f>IFERROR(Inv_SY_B!AW16/Inv_SY_B!$CA16-1,"")</f>
        <v>-9.6375828574708167E-2</v>
      </c>
      <c r="AX16" s="177">
        <f>IFERROR(Inv_SY_B!AX16/Inv_SY_B!$CA16-1,"")</f>
        <v>-7.1626706188348654E-2</v>
      </c>
      <c r="AY16" s="177">
        <f>IFERROR(Inv_SY_B!AY16/Inv_SY_B!$CA16-1,"")</f>
        <v>1.9301498955099028E-2</v>
      </c>
      <c r="AZ16" s="177">
        <f>IFERROR(Inv_SY_B!AZ16/Inv_SY_B!$CA16-1,"")</f>
        <v>8.3248229385591621E-2</v>
      </c>
      <c r="BA16" s="177">
        <f>IFERROR(Inv_SY_B!BA16/Inv_SY_B!$CA16-1,"")</f>
        <v>-5.9135378172354702E-3</v>
      </c>
      <c r="BB16" s="177">
        <f>IFERROR(Inv_SY_B!BB16/Inv_SY_B!$CA16-1,"")</f>
        <v>1.5106716742218307E-2</v>
      </c>
      <c r="BC16" s="177">
        <f>IFERROR(Inv_SY_B!BC16/Inv_SY_B!$CA16-1,"")</f>
        <v>1.6194521572114873E-2</v>
      </c>
      <c r="BD16" s="177">
        <f>IFERROR(Inv_SY_B!BD16/Inv_SY_B!$CA16-1,"")</f>
        <v>2.0665263096294906E-2</v>
      </c>
      <c r="BE16" s="177">
        <f>IFERROR(Inv_SY_B!BE16/Inv_SY_B!$CA16-1,"")</f>
        <v>3.0122425723519974E-2</v>
      </c>
      <c r="BF16" s="177">
        <f>IFERROR(Inv_SY_B!BF16/Inv_SY_B!$CA16-1,"")</f>
        <v>3.8110379416765872E-2</v>
      </c>
      <c r="BG16" s="177">
        <f>IFERROR(Inv_SY_B!BG16/Inv_SY_B!$CA16-1,"")</f>
        <v>3.5253910306069391E-2</v>
      </c>
      <c r="BH16" s="177">
        <f>IFERROR(Inv_SY_B!BH16/Inv_SY_B!$CA16-1,"")</f>
        <v>2.9608781440419785E-2</v>
      </c>
      <c r="BI16" s="177">
        <f>IFERROR(Inv_SY_B!BI16/Inv_SY_B!$CA16-1,"")</f>
        <v>3.0638731812130393E-2</v>
      </c>
      <c r="BJ16" s="177">
        <f>IFERROR(Inv_SY_B!BJ16/Inv_SY_B!$CA16-1,"")</f>
        <v>4.4957354511876213E-2</v>
      </c>
      <c r="BK16" s="177">
        <f>IFERROR(Inv_SY_B!BK16/Inv_SY_B!$CA16-1,"")</f>
        <v>2.4014920165654319E-2</v>
      </c>
      <c r="BL16" s="177">
        <f>IFERROR(Inv_SY_B!BL16/Inv_SY_B!$CA16-1,"")</f>
        <v>2.7308249489644609E-2</v>
      </c>
      <c r="BM16" s="177">
        <f>IFERROR(Inv_SY_B!BM16/Inv_SY_B!$CA16-1,"")</f>
        <v>1.800278665824151E-2</v>
      </c>
      <c r="BN16" s="177">
        <f>IFERROR(Inv_SY_B!BN16/Inv_SY_B!$CA16-1,"")</f>
        <v>6.2263167583336276E-3</v>
      </c>
      <c r="BO16" s="177">
        <f>IFERROR(Inv_SY_B!BO16/Inv_SY_B!$CA16-1,"")</f>
        <v>-8.1093013749586662E-2</v>
      </c>
      <c r="BP16" s="177">
        <f>IFERROR(Inv_SY_B!BP16/Inv_SY_B!$CA16-1,"")</f>
        <v>1.5176608835783645E-2</v>
      </c>
      <c r="BQ16" s="177">
        <f>IFERROR(Inv_SY_B!BQ16/Inv_SY_B!$CA16-1,"")</f>
        <v>2.988116224455184E-2</v>
      </c>
      <c r="BR16" s="177">
        <f>IFERROR(Inv_SY_B!BR16/Inv_SY_B!$CA16-1,"")</f>
        <v>5.3145762326124446E-2</v>
      </c>
      <c r="BS16" s="177">
        <f>IFERROR(Inv_SY_B!BS16/Inv_SY_B!$CA16-1,"")</f>
        <v>2.061400843878114E-2</v>
      </c>
      <c r="BT16" s="177">
        <f>IFERROR(Inv_SY_B!BT16/Inv_SY_B!$CA16-1,"")</f>
        <v>2.9455716167019474E-2</v>
      </c>
      <c r="BU16" s="177">
        <f>IFERROR(Inv_SY_B!BU16/Inv_SY_B!$CA16-1,"")</f>
        <v>-0.48871240196454457</v>
      </c>
      <c r="BV16" s="177">
        <f>IFERROR(Inv_SY_B!BV16/Inv_SY_B!$CA16-1,"")</f>
        <v>0.10483053623081906</v>
      </c>
      <c r="BW16" s="177">
        <f>IFERROR(Inv_SY_B!BW16/Inv_SY_B!$CA16-1,"")</f>
        <v>4.4533550491962837E-2</v>
      </c>
      <c r="BX16" s="177">
        <f>IFERROR(Inv_SY_B!BX16/Inv_SY_B!$CA16-1,"")</f>
        <v>7.3240575254016616E-3</v>
      </c>
    </row>
    <row r="17" spans="1:76">
      <c r="A17"/>
      <c r="B17" s="173">
        <f t="shared" si="1"/>
        <v>45850</v>
      </c>
      <c r="C17" s="177">
        <f>IFERROR(Inv_SY_B!C17/Inv_SY_B!$BY17-1,"")</f>
        <v>-6.756493208196046E-3</v>
      </c>
      <c r="D17" s="177">
        <f>IFERROR(Inv_SY_B!D17/Inv_SY_B!$BY17-1,"")</f>
        <v>-6.4023055083720637E-3</v>
      </c>
      <c r="E17" s="177">
        <f>IFERROR(Inv_SY_B!E17/Inv_SY_B!$BY17-1,"")</f>
        <v>-9.3132135416114092E-3</v>
      </c>
      <c r="F17" s="177">
        <f>IFERROR(Inv_SY_B!F17/Inv_SY_B!$BY17-1,"")</f>
        <v>-1.1976175659162425E-2</v>
      </c>
      <c r="G17" s="177">
        <f>IFERROR(Inv_SY_B!G17/Inv_SY_B!$BY17-1,"")</f>
        <v>-1.3325344340307188E-2</v>
      </c>
      <c r="H17" s="177">
        <f>IFERROR(Inv_SY_B!H17/Inv_SY_B!$BY17-1,"")</f>
        <v>-2.0716737186862622E-2</v>
      </c>
      <c r="I17" s="177">
        <f>IFERROR(Inv_SY_B!I17/Inv_SY_B!$BY17-1,"")</f>
        <v>1.3073018149687421E-3</v>
      </c>
      <c r="J17" s="177">
        <f>IFERROR(Inv_SY_B!J17/Inv_SY_B!$BY17-1,"")</f>
        <v>-8.2783446785592574E-3</v>
      </c>
      <c r="K17" s="177">
        <f>IFERROR(Inv_SY_B!K17/Inv_SY_B!$BY17-1,"")</f>
        <v>-2.8412773737349628E-2</v>
      </c>
      <c r="L17" s="177">
        <f>IFERROR(Inv_SY_B!L17/Inv_SY_B!$BY17-1,"")</f>
        <v>1.1564595353934504E-2</v>
      </c>
      <c r="M17" s="177">
        <f>IFERROR(Inv_SY_B!M17/Inv_SY_B!$BY17-1,"")</f>
        <v>2.5275545506558528E-2</v>
      </c>
      <c r="N17" s="177">
        <f>IFERROR(Inv_SY_B!N17/Inv_SY_B!$BY17-1,"")</f>
        <v>-2.6880909319536572E-3</v>
      </c>
      <c r="O17" s="177">
        <f>IFERROR(Inv_SY_B!O17/Inv_SY_B!$BY17-1,"")</f>
        <v>3.7939343855563967E-2</v>
      </c>
      <c r="P17" s="177">
        <f>IFERROR(Inv_SY_B!P17/Inv_SY_B!$BY17-1,"")</f>
        <v>-2.7008710387325108E-2</v>
      </c>
      <c r="Q17" s="177">
        <f>IFERROR(Inv_SY_B!Q17/Inv_SY_B!$BY17-1,"")</f>
        <v>-2.026064247902748E-3</v>
      </c>
      <c r="R17" s="177">
        <f>IFERROR(Inv_SY_B!R17/Inv_SY_B!$BY17-1,"")</f>
        <v>2.3598832866056352E-3</v>
      </c>
      <c r="S17" s="177">
        <f>IFERROR(Inv_SY_B!S17/Inv_SY_B!$BY17-1,"")</f>
        <v>-1.2240069294040978E-2</v>
      </c>
      <c r="T17" s="177">
        <f>IFERROR(Inv_SY_B!T17/Inv_SY_B!$BY17-1,"")</f>
        <v>-7.6316887430748492E-3</v>
      </c>
      <c r="U17" s="177">
        <f>IFERROR(Inv_SY_B!U17/Inv_SY_B!$BY17-1,"")</f>
        <v>-3.7809407568876185E-3</v>
      </c>
      <c r="V17" s="177">
        <f>IFERROR(Inv_SY_B!V17/Inv_SY_B!$BY17-1,"")</f>
        <v>-6.6181312575519513E-4</v>
      </c>
      <c r="W17" s="177">
        <f>IFERROR(Inv_SY_B!W17/Inv_SY_B!$BY17-1,"")</f>
        <v>-2.8151987425595992E-2</v>
      </c>
      <c r="X17" s="177">
        <f>IFERROR(Inv_SY_B!X17/Inv_SY_B!$BY17-1,"")</f>
        <v>9.7202879370865691E-3</v>
      </c>
      <c r="Y17" s="177">
        <f>IFERROR(Inv_SY_B!Y17/Inv_SY_B!$BY17-1,"")</f>
        <v>2.6219750486758509E-2</v>
      </c>
      <c r="Z17" s="177">
        <f>IFERROR(Inv_SY_B!Z17/Inv_SY_B!$BY17-1,"")</f>
        <v>2.9705968676442263E-2</v>
      </c>
      <c r="AA17" s="177">
        <f>IFERROR(Inv_SY_B!AA17/Inv_SY_B!$BY17-1,"")</f>
        <v>1.6844764917906652E-2</v>
      </c>
      <c r="AB17" s="177">
        <f>IFERROR(Inv_SY_B!AB17/Inv_SY_B!$BY17-1,"")</f>
        <v>-3.8424166300230489E-3</v>
      </c>
      <c r="AC17" s="177">
        <f>IFERROR(Inv_SY_B!AC17/Inv_SY_B!$BY17-1,"")</f>
        <v>1.9998366542026025E-2</v>
      </c>
      <c r="AD17" s="177">
        <f>IFERROR(Inv_SY_B!AD17/Inv_SY_B!$BY17-1,"")</f>
        <v>1.2277361025127886E-2</v>
      </c>
      <c r="AE17" s="177">
        <f>IFERROR(Inv_SY_B!AE17/Inv_SY_B!$BZ17-1,"")</f>
        <v>1.0290851106782961E-2</v>
      </c>
      <c r="AF17" s="177">
        <f>IFERROR(Inv_SY_B!AF17/Inv_SY_B!$BZ17-1,"")</f>
        <v>-4.6100102748005689E-3</v>
      </c>
      <c r="AG17" s="177">
        <f>IFERROR(Inv_SY_B!AG17/Inv_SY_B!$BZ17-1,"")</f>
        <v>8.8504385092544879E-3</v>
      </c>
      <c r="AH17" s="177">
        <f>IFERROR(Inv_SY_B!AH17/Inv_SY_B!$BZ17-1,"")</f>
        <v>-2.5964560025071304E-4</v>
      </c>
      <c r="AI17" s="177">
        <f>IFERROR(Inv_SY_B!AI17/Inv_SY_B!$BZ17-1,"")</f>
        <v>5.9272934501910512E-3</v>
      </c>
      <c r="AJ17" s="177">
        <f>IFERROR(Inv_SY_B!AJ17/Inv_SY_B!$BZ17-1,"")</f>
        <v>7.4121311533101863E-3</v>
      </c>
      <c r="AK17" s="177">
        <f>IFERROR(Inv_SY_B!AK17/Inv_SY_B!$BZ17-1,"")</f>
        <v>-6.0193231457016383E-3</v>
      </c>
      <c r="AL17" s="177">
        <f>IFERROR(Inv_SY_B!AL17/Inv_SY_B!$BZ17-1,"")</f>
        <v>-1.8249531528987673E-3</v>
      </c>
      <c r="AM17" s="177">
        <f>IFERROR(Inv_SY_B!AM17/Inv_SY_B!$BZ17-1,"")</f>
        <v>1.7916806092068693E-3</v>
      </c>
      <c r="AN17" s="177">
        <f>IFERROR(Inv_SY_B!AN17/Inv_SY_B!$BZ17-1,"")</f>
        <v>8.3676898745115302E-3</v>
      </c>
      <c r="AO17" s="177">
        <f>IFERROR(Inv_SY_B!AO17/Inv_SY_B!$BZ17-1,"")</f>
        <v>1.7251375214448084E-2</v>
      </c>
      <c r="AP17" s="177">
        <f>IFERROR(Inv_SY_B!AP17/Inv_SY_B!$BZ17-1,"")</f>
        <v>-3.3239883260581804E-2</v>
      </c>
      <c r="AQ17" s="177">
        <f>IFERROR(Inv_SY_B!AQ17/Inv_SY_B!$BZ17-1,"")</f>
        <v>5.3437077291040858E-3</v>
      </c>
      <c r="AR17" s="177">
        <f>IFERROR(Inv_SY_B!AR17/Inv_SY_B!$BZ17-1,"")</f>
        <v>2.5604189232653063E-3</v>
      </c>
      <c r="AS17" s="177">
        <f>IFERROR(Inv_SY_B!AS17/Inv_SY_B!$BZ17-1,"")</f>
        <v>-1.6344429845554509E-2</v>
      </c>
      <c r="AT17" s="177">
        <f>IFERROR(Inv_SY_B!AT17/Inv_SY_B!$BZ17-1,"")</f>
        <v>-1.4966926656601376E-2</v>
      </c>
      <c r="AU17" s="177">
        <f>IFERROR(Inv_SY_B!AU17/Inv_SY_B!$BZ17-1,"")</f>
        <v>9.4176609987628446E-3</v>
      </c>
      <c r="AV17" s="177">
        <f>IFERROR(Inv_SY_B!AV17/Inv_SY_B!$BZ17-1,"")</f>
        <v>5.1924367552746986E-5</v>
      </c>
      <c r="AW17" s="177">
        <f>IFERROR(Inv_SY_B!AW17/Inv_SY_B!$CA17-1,"")</f>
        <v>-6.2842127411050774E-2</v>
      </c>
      <c r="AX17" s="177">
        <f>IFERROR(Inv_SY_B!AX17/Inv_SY_B!$CA17-1,"")</f>
        <v>-4.1569503907729288E-2</v>
      </c>
      <c r="AY17" s="177">
        <f>IFERROR(Inv_SY_B!AY17/Inv_SY_B!$CA17-1,"")</f>
        <v>-4.0602810086365904E-2</v>
      </c>
      <c r="AZ17" s="177">
        <f>IFERROR(Inv_SY_B!AZ17/Inv_SY_B!$CA17-1,"")</f>
        <v>2.9635475416186052E-2</v>
      </c>
      <c r="BA17" s="177">
        <f>IFERROR(Inv_SY_B!BA17/Inv_SY_B!$CA17-1,"")</f>
        <v>-5.0782747472494894E-2</v>
      </c>
      <c r="BB17" s="177">
        <f>IFERROR(Inv_SY_B!BB17/Inv_SY_B!$CA17-1,"")</f>
        <v>-1.4898549253000937E-2</v>
      </c>
      <c r="BC17" s="177">
        <f>IFERROR(Inv_SY_B!BC17/Inv_SY_B!$CA17-1,"")</f>
        <v>8.0599750946332982E-3</v>
      </c>
      <c r="BD17" s="177">
        <f>IFERROR(Inv_SY_B!BD17/Inv_SY_B!$CA17-1,"")</f>
        <v>6.9515747420687557E-3</v>
      </c>
      <c r="BE17" s="177">
        <f>IFERROR(Inv_SY_B!BE17/Inv_SY_B!$CA17-1,"")</f>
        <v>2.310428907612927E-2</v>
      </c>
      <c r="BF17" s="177">
        <f>IFERROR(Inv_SY_B!BF17/Inv_SY_B!$CA17-1,"")</f>
        <v>2.7321186861513524E-2</v>
      </c>
      <c r="BG17" s="177">
        <f>IFERROR(Inv_SY_B!BG17/Inv_SY_B!$CA17-1,"")</f>
        <v>5.0801694003745679E-2</v>
      </c>
      <c r="BH17" s="177">
        <f>IFERROR(Inv_SY_B!BH17/Inv_SY_B!$CA17-1,"")</f>
        <v>4.1918104803230882E-2</v>
      </c>
      <c r="BI17" s="177">
        <f>IFERROR(Inv_SY_B!BI17/Inv_SY_B!$CA17-1,"")</f>
        <v>4.5803604489956795E-2</v>
      </c>
      <c r="BJ17" s="177">
        <f>IFERROR(Inv_SY_B!BJ17/Inv_SY_B!$CA17-1,"")</f>
        <v>6.0129971684221628E-2</v>
      </c>
      <c r="BK17" s="177">
        <f>IFERROR(Inv_SY_B!BK17/Inv_SY_B!$CA17-1,"")</f>
        <v>5.3255335732152354E-2</v>
      </c>
      <c r="BL17" s="177">
        <f>IFERROR(Inv_SY_B!BL17/Inv_SY_B!$CA17-1,"")</f>
        <v>4.0101511947512547E-2</v>
      </c>
      <c r="BM17" s="177">
        <f>IFERROR(Inv_SY_B!BM17/Inv_SY_B!$CA17-1,"")</f>
        <v>4.9938268419105869E-2</v>
      </c>
      <c r="BN17" s="177">
        <f>IFERROR(Inv_SY_B!BN17/Inv_SY_B!$CA17-1,"")</f>
        <v>3.9051999387413217E-2</v>
      </c>
      <c r="BO17" s="177">
        <f>IFERROR(Inv_SY_B!BO17/Inv_SY_B!$CA17-1,"")</f>
        <v>-8.1176753824168113E-2</v>
      </c>
      <c r="BP17" s="177">
        <f>IFERROR(Inv_SY_B!BP17/Inv_SY_B!$CA17-1,"")</f>
        <v>4.3006724660855866E-2</v>
      </c>
      <c r="BQ17" s="177">
        <f>IFERROR(Inv_SY_B!BQ17/Inv_SY_B!$CA17-1,"")</f>
        <v>3.6004712599848609E-2</v>
      </c>
      <c r="BR17" s="177">
        <f>IFERROR(Inv_SY_B!BR17/Inv_SY_B!$CA17-1,"")</f>
        <v>5.4552562747125943E-2</v>
      </c>
      <c r="BS17" s="177">
        <f>IFERROR(Inv_SY_B!BS17/Inv_SY_B!$CA17-1,"")</f>
        <v>3.2246654149699072E-3</v>
      </c>
      <c r="BT17" s="177">
        <f>IFERROR(Inv_SY_B!BT17/Inv_SY_B!$CA17-1,"")</f>
        <v>-4.7856194014626041E-3</v>
      </c>
      <c r="BU17" s="177">
        <f>IFERROR(Inv_SY_B!BU17/Inv_SY_B!$CA17-1,"")</f>
        <v>-0.49301053387536864</v>
      </c>
      <c r="BV17" s="177">
        <f>IFERROR(Inv_SY_B!BV17/Inv_SY_B!$CA17-1,"")</f>
        <v>7.2327193613781704E-2</v>
      </c>
      <c r="BW17" s="177">
        <f>IFERROR(Inv_SY_B!BW17/Inv_SY_B!$CA17-1,"")</f>
        <v>5.9577338113810718E-2</v>
      </c>
      <c r="BX17" s="177">
        <f>IFERROR(Inv_SY_B!BX17/Inv_SY_B!$CA17-1,"")</f>
        <v>4.4902456423373538E-2</v>
      </c>
    </row>
    <row r="18" spans="1:76">
      <c r="A18"/>
      <c r="B18" s="173">
        <f t="shared" si="1"/>
        <v>45851</v>
      </c>
      <c r="C18" s="177">
        <f>IFERROR(Inv_SY_B!C18/Inv_SY_B!$BY18-1,"")</f>
        <v>1.5697592854537534E-2</v>
      </c>
      <c r="D18" s="177">
        <f>IFERROR(Inv_SY_B!D18/Inv_SY_B!$BY18-1,"")</f>
        <v>1.4015223209557837E-2</v>
      </c>
      <c r="E18" s="177">
        <f>IFERROR(Inv_SY_B!E18/Inv_SY_B!$BY18-1,"")</f>
        <v>-1.7666178338395788E-3</v>
      </c>
      <c r="F18" s="177">
        <f>IFERROR(Inv_SY_B!F18/Inv_SY_B!$BY18-1,"")</f>
        <v>-1.3948082920643423E-2</v>
      </c>
      <c r="G18" s="177">
        <f>IFERROR(Inv_SY_B!G18/Inv_SY_B!$BY18-1,"")</f>
        <v>-1.6603859363681028E-2</v>
      </c>
      <c r="H18" s="177">
        <f>IFERROR(Inv_SY_B!H18/Inv_SY_B!$BY18-1,"")</f>
        <v>-1.2405912628862592E-2</v>
      </c>
      <c r="I18" s="177">
        <f>IFERROR(Inv_SY_B!I18/Inv_SY_B!$BY18-1,"")</f>
        <v>9.8109044082472785E-3</v>
      </c>
      <c r="J18" s="177">
        <f>IFERROR(Inv_SY_B!J18/Inv_SY_B!$BY18-1,"")</f>
        <v>1.8667468857036296E-2</v>
      </c>
      <c r="K18" s="177">
        <f>IFERROR(Inv_SY_B!K18/Inv_SY_B!$BY18-1,"")</f>
        <v>-1.7701139530797994E-2</v>
      </c>
      <c r="L18" s="177">
        <f>IFERROR(Inv_SY_B!L18/Inv_SY_B!$BY18-1,"")</f>
        <v>1.0610772965768289E-2</v>
      </c>
      <c r="M18" s="177">
        <f>IFERROR(Inv_SY_B!M18/Inv_SY_B!$BY18-1,"")</f>
        <v>2.1902380673079813E-2</v>
      </c>
      <c r="N18" s="177">
        <f>IFERROR(Inv_SY_B!N18/Inv_SY_B!$BY18-1,"")</f>
        <v>5.3970177012185871E-4</v>
      </c>
      <c r="O18" s="177">
        <f>IFERROR(Inv_SY_B!O18/Inv_SY_B!$BY18-1,"")</f>
        <v>4.2323657027956374E-2</v>
      </c>
      <c r="P18" s="177">
        <f>IFERROR(Inv_SY_B!P18/Inv_SY_B!$BY18-1,"")</f>
        <v>-3.7562011241520921E-2</v>
      </c>
      <c r="Q18" s="177">
        <f>IFERROR(Inv_SY_B!Q18/Inv_SY_B!$BY18-1,"")</f>
        <v>5.0138242750146222E-3</v>
      </c>
      <c r="R18" s="177">
        <f>IFERROR(Inv_SY_B!R18/Inv_SY_B!$BY18-1,"")</f>
        <v>1.9112566143204779E-2</v>
      </c>
      <c r="S18" s="177">
        <f>IFERROR(Inv_SY_B!S18/Inv_SY_B!$BY18-1,"")</f>
        <v>-2.0168173938873712E-3</v>
      </c>
      <c r="T18" s="177">
        <f>IFERROR(Inv_SY_B!T18/Inv_SY_B!$BY18-1,"")</f>
        <v>2.6203051098261376E-3</v>
      </c>
      <c r="U18" s="177">
        <f>IFERROR(Inv_SY_B!U18/Inv_SY_B!$BY18-1,"")</f>
        <v>1.3461551819523132E-2</v>
      </c>
      <c r="V18" s="177">
        <f>IFERROR(Inv_SY_B!V18/Inv_SY_B!$BY18-1,"")</f>
        <v>1.9396445235741355E-2</v>
      </c>
      <c r="W18" s="177">
        <f>IFERROR(Inv_SY_B!W18/Inv_SY_B!$BY18-1,"")</f>
        <v>-5.112541651041469E-2</v>
      </c>
      <c r="X18" s="177">
        <f>IFERROR(Inv_SY_B!X18/Inv_SY_B!$BY18-1,"")</f>
        <v>-3.2459119879655107E-2</v>
      </c>
      <c r="Y18" s="177">
        <f>IFERROR(Inv_SY_B!Y18/Inv_SY_B!$BY18-1,"")</f>
        <v>6.7049558904501705E-3</v>
      </c>
      <c r="Z18" s="177">
        <f>IFERROR(Inv_SY_B!Z18/Inv_SY_B!$BY18-1,"")</f>
        <v>7.2103128478862022E-3</v>
      </c>
      <c r="AA18" s="177">
        <f>IFERROR(Inv_SY_B!AA18/Inv_SY_B!$BY18-1,"")</f>
        <v>1.0401676732176846E-3</v>
      </c>
      <c r="AB18" s="177">
        <f>IFERROR(Inv_SY_B!AB18/Inv_SY_B!$BY18-1,"")</f>
        <v>-1.1577137943113214E-2</v>
      </c>
      <c r="AC18" s="177">
        <f>IFERROR(Inv_SY_B!AC18/Inv_SY_B!$BY18-1,"")</f>
        <v>-2.4260293346233253E-3</v>
      </c>
      <c r="AD18" s="177">
        <f>IFERROR(Inv_SY_B!AD18/Inv_SY_B!$BY18-1,"")</f>
        <v>-8.5356861801363371E-3</v>
      </c>
      <c r="AE18" s="177">
        <f>IFERROR(Inv_SY_B!AE18/Inv_SY_B!$BZ18-1,"")</f>
        <v>2.0083623199343981E-2</v>
      </c>
      <c r="AF18" s="177">
        <f>IFERROR(Inv_SY_B!AF18/Inv_SY_B!$BZ18-1,"")</f>
        <v>3.1081229882190531E-3</v>
      </c>
      <c r="AG18" s="177">
        <f>IFERROR(Inv_SY_B!AG18/Inv_SY_B!$BZ18-1,"")</f>
        <v>1.0345333825272807E-2</v>
      </c>
      <c r="AH18" s="177">
        <f>IFERROR(Inv_SY_B!AH18/Inv_SY_B!$BZ18-1,"")</f>
        <v>1.3028682550262349E-3</v>
      </c>
      <c r="AI18" s="177">
        <f>IFERROR(Inv_SY_B!AI18/Inv_SY_B!$BZ18-1,"")</f>
        <v>1.0554374395039812E-2</v>
      </c>
      <c r="AJ18" s="177">
        <f>IFERROR(Inv_SY_B!AJ18/Inv_SY_B!$BZ18-1,"")</f>
        <v>1.0979042947486084E-2</v>
      </c>
      <c r="AK18" s="177">
        <f>IFERROR(Inv_SY_B!AK18/Inv_SY_B!$BZ18-1,"")</f>
        <v>-5.0192956801061728E-3</v>
      </c>
      <c r="AL18" s="177">
        <f>IFERROR(Inv_SY_B!AL18/Inv_SY_B!$BZ18-1,"")</f>
        <v>-6.2004027854913213E-2</v>
      </c>
      <c r="AM18" s="177">
        <f>IFERROR(Inv_SY_B!AM18/Inv_SY_B!$BZ18-1,"")</f>
        <v>4.6696150877598708E-3</v>
      </c>
      <c r="AN18" s="177">
        <f>IFERROR(Inv_SY_B!AN18/Inv_SY_B!$BZ18-1,"")</f>
        <v>1.0519595506569779E-2</v>
      </c>
      <c r="AO18" s="177">
        <f>IFERROR(Inv_SY_B!AO18/Inv_SY_B!$BZ18-1,"")</f>
        <v>1.9961291844281526E-2</v>
      </c>
      <c r="AP18" s="177">
        <f>IFERROR(Inv_SY_B!AP18/Inv_SY_B!$BZ18-1,"")</f>
        <v>-4.0474167629454105E-2</v>
      </c>
      <c r="AQ18" s="177">
        <f>IFERROR(Inv_SY_B!AQ18/Inv_SY_B!$BZ18-1,"")</f>
        <v>8.1214187560745277E-3</v>
      </c>
      <c r="AR18" s="177">
        <f>IFERROR(Inv_SY_B!AR18/Inv_SY_B!$BZ18-1,"")</f>
        <v>2.9257141912393259E-3</v>
      </c>
      <c r="AS18" s="177">
        <f>IFERROR(Inv_SY_B!AS18/Inv_SY_B!$BZ18-1,"")</f>
        <v>-3.0999299842704442E-3</v>
      </c>
      <c r="AT18" s="177">
        <f>IFERROR(Inv_SY_B!AT18/Inv_SY_B!$BZ18-1,"")</f>
        <v>5.7164632321176079E-3</v>
      </c>
      <c r="AU18" s="177">
        <f>IFERROR(Inv_SY_B!AU18/Inv_SY_B!$BZ18-1,"")</f>
        <v>4.9255319996324154E-3</v>
      </c>
      <c r="AV18" s="177">
        <f>IFERROR(Inv_SY_B!AV18/Inv_SY_B!$BZ18-1,"")</f>
        <v>-2.6155750793216415E-3</v>
      </c>
      <c r="AW18" s="177">
        <f>IFERROR(Inv_SY_B!AW18/Inv_SY_B!$CA18-1,"")</f>
        <v>-2.2203022522082727E-2</v>
      </c>
      <c r="AX18" s="177">
        <f>IFERROR(Inv_SY_B!AX18/Inv_SY_B!$CA18-1,"")</f>
        <v>-2.8384266673635583E-3</v>
      </c>
      <c r="AY18" s="177">
        <f>IFERROR(Inv_SY_B!AY18/Inv_SY_B!$CA18-1,"")</f>
        <v>-1.2210147354962064E-2</v>
      </c>
      <c r="AZ18" s="177">
        <f>IFERROR(Inv_SY_B!AZ18/Inv_SY_B!$CA18-1,"")</f>
        <v>5.4017584709719069E-2</v>
      </c>
      <c r="BA18" s="177">
        <f>IFERROR(Inv_SY_B!BA18/Inv_SY_B!$CA18-1,"")</f>
        <v>-2.1016651191707036E-2</v>
      </c>
      <c r="BB18" s="177">
        <f>IFERROR(Inv_SY_B!BB18/Inv_SY_B!$CA18-1,"")</f>
        <v>1.2867341794160936E-2</v>
      </c>
      <c r="BC18" s="177">
        <f>IFERROR(Inv_SY_B!BC18/Inv_SY_B!$CA18-1,"")</f>
        <v>1.9571978803958556E-2</v>
      </c>
      <c r="BD18" s="177">
        <f>IFERROR(Inv_SY_B!BD18/Inv_SY_B!$CA18-1,"")</f>
        <v>1.2648812715205127E-2</v>
      </c>
      <c r="BE18" s="177">
        <f>IFERROR(Inv_SY_B!BE18/Inv_SY_B!$CA18-1,"")</f>
        <v>2.4236784093539132E-2</v>
      </c>
      <c r="BF18" s="177">
        <f>IFERROR(Inv_SY_B!BF18/Inv_SY_B!$CA18-1,"")</f>
        <v>2.884993895868293E-2</v>
      </c>
      <c r="BG18" s="177">
        <f>IFERROR(Inv_SY_B!BG18/Inv_SY_B!$CA18-1,"")</f>
        <v>4.6246258020023356E-2</v>
      </c>
      <c r="BH18" s="177">
        <f>IFERROR(Inv_SY_B!BH18/Inv_SY_B!$CA18-1,"")</f>
        <v>3.6671093974690594E-2</v>
      </c>
      <c r="BI18" s="177">
        <f>IFERROR(Inv_SY_B!BI18/Inv_SY_B!$CA18-1,"")</f>
        <v>4.8461243477860183E-2</v>
      </c>
      <c r="BJ18" s="177">
        <f>IFERROR(Inv_SY_B!BJ18/Inv_SY_B!$CA18-1,"")</f>
        <v>5.5451109512781871E-2</v>
      </c>
      <c r="BK18" s="177">
        <f>IFERROR(Inv_SY_B!BK18/Inv_SY_B!$CA18-1,"")</f>
        <v>5.6813783938980178E-2</v>
      </c>
      <c r="BL18" s="177">
        <f>IFERROR(Inv_SY_B!BL18/Inv_SY_B!$CA18-1,"")</f>
        <v>4.6547394027586453E-2</v>
      </c>
      <c r="BM18" s="177">
        <f>IFERROR(Inv_SY_B!BM18/Inv_SY_B!$CA18-1,"")</f>
        <v>3.3756543036550291E-2</v>
      </c>
      <c r="BN18" s="177">
        <f>IFERROR(Inv_SY_B!BN18/Inv_SY_B!$CA18-1,"")</f>
        <v>1.3149661043500682E-2</v>
      </c>
      <c r="BO18" s="177">
        <f>IFERROR(Inv_SY_B!BO18/Inv_SY_B!$CA18-1,"")</f>
        <v>-5.4480767190386192E-2</v>
      </c>
      <c r="BP18" s="177">
        <f>IFERROR(Inv_SY_B!BP18/Inv_SY_B!$CA18-1,"")</f>
        <v>2.982836610629569E-2</v>
      </c>
      <c r="BQ18" s="177">
        <f>IFERROR(Inv_SY_B!BQ18/Inv_SY_B!$CA18-1,"")</f>
        <v>1.3985877899818977E-2</v>
      </c>
      <c r="BR18" s="177">
        <f>IFERROR(Inv_SY_B!BR18/Inv_SY_B!$CA18-1,"")</f>
        <v>3.9540175277693379E-2</v>
      </c>
      <c r="BS18" s="177">
        <f>IFERROR(Inv_SY_B!BS18/Inv_SY_B!$CA18-1,"")</f>
        <v>-6.7714230351290094E-3</v>
      </c>
      <c r="BT18" s="177">
        <f>IFERROR(Inv_SY_B!BT18/Inv_SY_B!$CA18-1,"")</f>
        <v>-1.0920417413421868E-2</v>
      </c>
      <c r="BU18" s="177">
        <f>IFERROR(Inv_SY_B!BU18/Inv_SY_B!$CA18-1,"")</f>
        <v>-0.50512197411719151</v>
      </c>
      <c r="BV18" s="177">
        <f>IFERROR(Inv_SY_B!BV18/Inv_SY_B!$CA18-1,"")</f>
        <v>1.0885524370300104E-2</v>
      </c>
      <c r="BW18" s="177">
        <f>IFERROR(Inv_SY_B!BW18/Inv_SY_B!$CA18-1,"")</f>
        <v>2.8603987694454158E-2</v>
      </c>
      <c r="BX18" s="177">
        <f>IFERROR(Inv_SY_B!BX18/Inv_SY_B!$CA18-1,"")</f>
        <v>2.3429370036443187E-2</v>
      </c>
    </row>
    <row r="19" spans="1:76">
      <c r="A19"/>
      <c r="B19" s="173">
        <f t="shared" si="1"/>
        <v>45852</v>
      </c>
      <c r="C19" s="177">
        <f>IFERROR(Inv_SY_B!C19/Inv_SY_B!$BY19-1,"")</f>
        <v>9.737794164392799E-4</v>
      </c>
      <c r="D19" s="177">
        <f>IFERROR(Inv_SY_B!D19/Inv_SY_B!$BY19-1,"")</f>
        <v>7.1589060371775037E-3</v>
      </c>
      <c r="E19" s="177">
        <f>IFERROR(Inv_SY_B!E19/Inv_SY_B!$BY19-1,"")</f>
        <v>-2.9456971213068783E-3</v>
      </c>
      <c r="F19" s="177">
        <f>IFERROR(Inv_SY_B!F19/Inv_SY_B!$BY19-1,"")</f>
        <v>-2.2527640979416064E-2</v>
      </c>
      <c r="G19" s="177">
        <f>IFERROR(Inv_SY_B!G19/Inv_SY_B!$BY19-1,"")</f>
        <v>-3.0251862289853104E-2</v>
      </c>
      <c r="H19" s="177">
        <f>IFERROR(Inv_SY_B!H19/Inv_SY_B!$BY19-1,"")</f>
        <v>-2.7598648939713866E-2</v>
      </c>
      <c r="I19" s="177">
        <f>IFERROR(Inv_SY_B!I19/Inv_SY_B!$BY19-1,"")</f>
        <v>-3.0953428403868166E-5</v>
      </c>
      <c r="J19" s="177">
        <f>IFERROR(Inv_SY_B!J19/Inv_SY_B!$BY19-1,"")</f>
        <v>-1.3747669218536873E-2</v>
      </c>
      <c r="K19" s="177">
        <f>IFERROR(Inv_SY_B!K19/Inv_SY_B!$BY19-1,"")</f>
        <v>-2.0162039748702343E-2</v>
      </c>
      <c r="L19" s="177">
        <f>IFERROR(Inv_SY_B!L19/Inv_SY_B!$BY19-1,"")</f>
        <v>4.8038585046832338E-3</v>
      </c>
      <c r="M19" s="177">
        <f>IFERROR(Inv_SY_B!M19/Inv_SY_B!$BY19-1,"")</f>
        <v>2.0360066429039314E-2</v>
      </c>
      <c r="N19" s="177">
        <f>IFERROR(Inv_SY_B!N19/Inv_SY_B!$BY19-1,"")</f>
        <v>-8.6080693779952977E-3</v>
      </c>
      <c r="O19" s="177">
        <f>IFERROR(Inv_SY_B!O19/Inv_SY_B!$BY19-1,"")</f>
        <v>4.4495780439057775E-2</v>
      </c>
      <c r="P19" s="177">
        <f>IFERROR(Inv_SY_B!P19/Inv_SY_B!$BY19-1,"")</f>
        <v>-2.6673490914555842E-2</v>
      </c>
      <c r="Q19" s="177">
        <f>IFERROR(Inv_SY_B!Q19/Inv_SY_B!$BY19-1,"")</f>
        <v>3.4248840128869862E-3</v>
      </c>
      <c r="R19" s="177">
        <f>IFERROR(Inv_SY_B!R19/Inv_SY_B!$BY19-1,"")</f>
        <v>2.0481547878674178E-2</v>
      </c>
      <c r="S19" s="177">
        <f>IFERROR(Inv_SY_B!S19/Inv_SY_B!$BY19-1,"")</f>
        <v>2.7794787751238559E-3</v>
      </c>
      <c r="T19" s="177">
        <f>IFERROR(Inv_SY_B!T19/Inv_SY_B!$BY19-1,"")</f>
        <v>-1.2345114047060846E-2</v>
      </c>
      <c r="U19" s="177">
        <f>IFERROR(Inv_SY_B!U19/Inv_SY_B!$BY19-1,"")</f>
        <v>1.2798503824528851E-2</v>
      </c>
      <c r="V19" s="177">
        <f>IFERROR(Inv_SY_B!V19/Inv_SY_B!$BY19-1,"")</f>
        <v>8.2198761055269909E-3</v>
      </c>
      <c r="W19" s="177">
        <f>IFERROR(Inv_SY_B!W19/Inv_SY_B!$BY19-1,"")</f>
        <v>-2.4210565575933818E-2</v>
      </c>
      <c r="X19" s="177">
        <f>IFERROR(Inv_SY_B!X19/Inv_SY_B!$BY19-1,"")</f>
        <v>2.0183393578421693E-2</v>
      </c>
      <c r="Y19" s="177">
        <f>IFERROR(Inv_SY_B!Y19/Inv_SY_B!$BY19-1,"")</f>
        <v>1.2772324921331846E-2</v>
      </c>
      <c r="Z19" s="177">
        <f>IFERROR(Inv_SY_B!Z19/Inv_SY_B!$BY19-1,"")</f>
        <v>8.6159969384078661E-3</v>
      </c>
      <c r="AA19" s="177">
        <f>IFERROR(Inv_SY_B!AA19/Inv_SY_B!$BY19-1,"")</f>
        <v>1.6564532630579221E-2</v>
      </c>
      <c r="AB19" s="177">
        <f>IFERROR(Inv_SY_B!AB19/Inv_SY_B!$BY19-1,"")</f>
        <v>5.8900547776861156E-3</v>
      </c>
      <c r="AC19" s="177">
        <f>IFERROR(Inv_SY_B!AC19/Inv_SY_B!$BY19-1,"")</f>
        <v>4.4938700086136762E-3</v>
      </c>
      <c r="AD19" s="177">
        <f>IFERROR(Inv_SY_B!AD19/Inv_SY_B!$BY19-1,"")</f>
        <v>-4.9151026367010298E-3</v>
      </c>
      <c r="AE19" s="177">
        <f>IFERROR(Inv_SY_B!AE19/Inv_SY_B!$BZ19-1,"")</f>
        <v>7.4352252947542663E-3</v>
      </c>
      <c r="AF19" s="177">
        <f>IFERROR(Inv_SY_B!AF19/Inv_SY_B!$BZ19-1,"")</f>
        <v>-1.273892086470263E-2</v>
      </c>
      <c r="AG19" s="177">
        <f>IFERROR(Inv_SY_B!AG19/Inv_SY_B!$BZ19-1,"")</f>
        <v>-2.5959172849808754E-3</v>
      </c>
      <c r="AH19" s="177">
        <f>IFERROR(Inv_SY_B!AH19/Inv_SY_B!$BZ19-1,"")</f>
        <v>-1.3136055497925181E-2</v>
      </c>
      <c r="AI19" s="177">
        <f>IFERROR(Inv_SY_B!AI19/Inv_SY_B!$BZ19-1,"")</f>
        <v>7.0164910925007984E-3</v>
      </c>
      <c r="AJ19" s="177">
        <f>IFERROR(Inv_SY_B!AJ19/Inv_SY_B!$BZ19-1,"")</f>
        <v>8.0685979943508901E-3</v>
      </c>
      <c r="AK19" s="177">
        <f>IFERROR(Inv_SY_B!AK19/Inv_SY_B!$BZ19-1,"")</f>
        <v>-1.8445072246985328E-3</v>
      </c>
      <c r="AL19" s="177">
        <f>IFERROR(Inv_SY_B!AL19/Inv_SY_B!$BZ19-1,"")</f>
        <v>7.5444367409225332E-3</v>
      </c>
      <c r="AM19" s="177">
        <f>IFERROR(Inv_SY_B!AM19/Inv_SY_B!$BZ19-1,"")</f>
        <v>3.6894576851571603E-3</v>
      </c>
      <c r="AN19" s="177">
        <f>IFERROR(Inv_SY_B!AN19/Inv_SY_B!$BZ19-1,"")</f>
        <v>1.322208373367495E-2</v>
      </c>
      <c r="AO19" s="177">
        <f>IFERROR(Inv_SY_B!AO19/Inv_SY_B!$BZ19-1,"")</f>
        <v>1.5039933352229307E-2</v>
      </c>
      <c r="AP19" s="177">
        <f>IFERROR(Inv_SY_B!AP19/Inv_SY_B!$BZ19-1,"")</f>
        <v>-3.8387110315043715E-2</v>
      </c>
      <c r="AQ19" s="177">
        <f>IFERROR(Inv_SY_B!AQ19/Inv_SY_B!$BZ19-1,"")</f>
        <v>3.7041015677667932E-3</v>
      </c>
      <c r="AR19" s="177">
        <f>IFERROR(Inv_SY_B!AR19/Inv_SY_B!$BZ19-1,"")</f>
        <v>6.6365987355549994E-3</v>
      </c>
      <c r="AS19" s="177">
        <f>IFERROR(Inv_SY_B!AS19/Inv_SY_B!$BZ19-1,"")</f>
        <v>-1.2829162805324867E-2</v>
      </c>
      <c r="AT19" s="177">
        <f>IFERROR(Inv_SY_B!AT19/Inv_SY_B!$BZ19-1,"")</f>
        <v>-1.5699854827580961E-2</v>
      </c>
      <c r="AU19" s="177">
        <f>IFERROR(Inv_SY_B!AU19/Inv_SY_B!$BZ19-1,"")</f>
        <v>2.1876902783570573E-2</v>
      </c>
      <c r="AV19" s="177">
        <f>IFERROR(Inv_SY_B!AV19/Inv_SY_B!$BZ19-1,"")</f>
        <v>2.9976998397758248E-3</v>
      </c>
      <c r="AW19" s="177">
        <f>IFERROR(Inv_SY_B!AW19/Inv_SY_B!$CA19-1,"")</f>
        <v>-6.4442754577367034E-2</v>
      </c>
      <c r="AX19" s="177">
        <f>IFERROR(Inv_SY_B!AX19/Inv_SY_B!$CA19-1,"")</f>
        <v>-3.1475055032042731E-2</v>
      </c>
      <c r="AY19" s="177">
        <f>IFERROR(Inv_SY_B!AY19/Inv_SY_B!$CA19-1,"")</f>
        <v>2.8157987112015892E-2</v>
      </c>
      <c r="AZ19" s="177">
        <f>IFERROR(Inv_SY_B!AZ19/Inv_SY_B!$CA19-1,"")</f>
        <v>7.8994097275296271E-2</v>
      </c>
      <c r="BA19" s="177">
        <f>IFERROR(Inv_SY_B!BA19/Inv_SY_B!$CA19-1,"")</f>
        <v>6.3164958449588582E-3</v>
      </c>
      <c r="BB19" s="177">
        <f>IFERROR(Inv_SY_B!BB19/Inv_SY_B!$CA19-1,"")</f>
        <v>1.9017402435808961E-2</v>
      </c>
      <c r="BC19" s="177">
        <f>IFERROR(Inv_SY_B!BC19/Inv_SY_B!$CA19-1,"")</f>
        <v>5.8342344975996774E-3</v>
      </c>
      <c r="BD19" s="177">
        <f>IFERROR(Inv_SY_B!BD19/Inv_SY_B!$CA19-1,"")</f>
        <v>7.8179630111940845E-3</v>
      </c>
      <c r="BE19" s="177">
        <f>IFERROR(Inv_SY_B!BE19/Inv_SY_B!$CA19-1,"")</f>
        <v>2.7654813335542983E-2</v>
      </c>
      <c r="BF19" s="177">
        <f>IFERROR(Inv_SY_B!BF19/Inv_SY_B!$CA19-1,"")</f>
        <v>4.1436653231529341E-2</v>
      </c>
      <c r="BG19" s="177">
        <f>IFERROR(Inv_SY_B!BG19/Inv_SY_B!$CA19-1,"")</f>
        <v>4.2356932324933316E-2</v>
      </c>
      <c r="BH19" s="177">
        <f>IFERROR(Inv_SY_B!BH19/Inv_SY_B!$CA19-1,"")</f>
        <v>3.4191803021721423E-2</v>
      </c>
      <c r="BI19" s="177">
        <f>IFERROR(Inv_SY_B!BI19/Inv_SY_B!$CA19-1,"")</f>
        <v>3.5757360629424806E-2</v>
      </c>
      <c r="BJ19" s="177">
        <f>IFERROR(Inv_SY_B!BJ19/Inv_SY_B!$CA19-1,"")</f>
        <v>4.6880315853103038E-2</v>
      </c>
      <c r="BK19" s="177">
        <f>IFERROR(Inv_SY_B!BK19/Inv_SY_B!$CA19-1,"")</f>
        <v>3.5286265184384158E-2</v>
      </c>
      <c r="BL19" s="177">
        <f>IFERROR(Inv_SY_B!BL19/Inv_SY_B!$CA19-1,"")</f>
        <v>3.4717358266256326E-2</v>
      </c>
      <c r="BM19" s="177">
        <f>IFERROR(Inv_SY_B!BM19/Inv_SY_B!$CA19-1,"")</f>
        <v>1.9486481827958757E-2</v>
      </c>
      <c r="BN19" s="177">
        <f>IFERROR(Inv_SY_B!BN19/Inv_SY_B!$CA19-1,"")</f>
        <v>1.0113819206605479E-2</v>
      </c>
      <c r="BO19" s="177">
        <f>IFERROR(Inv_SY_B!BO19/Inv_SY_B!$CA19-1,"")</f>
        <v>-1.6416287771096938E-2</v>
      </c>
      <c r="BP19" s="177">
        <f>IFERROR(Inv_SY_B!BP19/Inv_SY_B!$CA19-1,"")</f>
        <v>1.4064271594573796E-2</v>
      </c>
      <c r="BQ19" s="177">
        <f>IFERROR(Inv_SY_B!BQ19/Inv_SY_B!$CA19-1,"")</f>
        <v>3.9544330094229974E-3</v>
      </c>
      <c r="BR19" s="177">
        <f>IFERROR(Inv_SY_B!BR19/Inv_SY_B!$CA19-1,"")</f>
        <v>4.9962596832264117E-2</v>
      </c>
      <c r="BS19" s="177">
        <f>IFERROR(Inv_SY_B!BS19/Inv_SY_B!$CA19-1,"")</f>
        <v>-2.301099002143181E-2</v>
      </c>
      <c r="BT19" s="177">
        <f>IFERROR(Inv_SY_B!BT19/Inv_SY_B!$CA19-1,"")</f>
        <v>-3.2536725376418718E-2</v>
      </c>
      <c r="BU19" s="177">
        <f>IFERROR(Inv_SY_B!BU19/Inv_SY_B!$CA19-1,"")</f>
        <v>-0.43980630266275889</v>
      </c>
      <c r="BV19" s="177">
        <f>IFERROR(Inv_SY_B!BV19/Inv_SY_B!$CA19-1,"")</f>
        <v>3.4029052701961771E-2</v>
      </c>
      <c r="BW19" s="177">
        <f>IFERROR(Inv_SY_B!BW19/Inv_SY_B!$CA19-1,"")</f>
        <v>2.3074527188338578E-2</v>
      </c>
      <c r="BX19" s="177">
        <f>IFERROR(Inv_SY_B!BX19/Inv_SY_B!$CA19-1,"")</f>
        <v>8.583251056217378E-3</v>
      </c>
    </row>
    <row r="20" spans="1:76">
      <c r="A20"/>
      <c r="B20" s="173">
        <f t="shared" si="1"/>
        <v>45853</v>
      </c>
      <c r="C20" s="177">
        <f>IFERROR(Inv_SY_B!C20/Inv_SY_B!$BY20-1,"")</f>
        <v>-2.1463194650836681E-2</v>
      </c>
      <c r="D20" s="177">
        <f>IFERROR(Inv_SY_B!D20/Inv_SY_B!$BY20-1,"")</f>
        <v>3.8540623869105506E-3</v>
      </c>
      <c r="E20" s="177">
        <f>IFERROR(Inv_SY_B!E20/Inv_SY_B!$BY20-1,"")</f>
        <v>1.6619663128502937E-2</v>
      </c>
      <c r="F20" s="177">
        <f>IFERROR(Inv_SY_B!F20/Inv_SY_B!$BY20-1,"")</f>
        <v>-1.886401105168023E-3</v>
      </c>
      <c r="G20" s="177">
        <f>IFERROR(Inv_SY_B!G20/Inv_SY_B!$BY20-1,"")</f>
        <v>-5.135962979512243E-4</v>
      </c>
      <c r="H20" s="177">
        <f>IFERROR(Inv_SY_B!H20/Inv_SY_B!$BY20-1,"")</f>
        <v>-1.5990361827833532E-2</v>
      </c>
      <c r="I20" s="177">
        <f>IFERROR(Inv_SY_B!I20/Inv_SY_B!$BY20-1,"")</f>
        <v>3.5217775836022813E-3</v>
      </c>
      <c r="J20" s="177">
        <f>IFERROR(Inv_SY_B!J20/Inv_SY_B!$BY20-1,"")</f>
        <v>-3.2719380032942613E-2</v>
      </c>
      <c r="K20" s="177">
        <f>IFERROR(Inv_SY_B!K20/Inv_SY_B!$BY20-1,"")</f>
        <v>-2.588630326256669E-2</v>
      </c>
      <c r="L20" s="177">
        <f>IFERROR(Inv_SY_B!L20/Inv_SY_B!$BY20-1,"")</f>
        <v>1.7131459912591351E-2</v>
      </c>
      <c r="M20" s="177">
        <f>IFERROR(Inv_SY_B!M20/Inv_SY_B!$BY20-1,"")</f>
        <v>2.7847457223620697E-2</v>
      </c>
      <c r="N20" s="177">
        <f>IFERROR(Inv_SY_B!N20/Inv_SY_B!$BY20-1,"")</f>
        <v>-1.450244514718757E-2</v>
      </c>
      <c r="O20" s="177">
        <f>IFERROR(Inv_SY_B!O20/Inv_SY_B!$BY20-1,"")</f>
        <v>3.3826065935133487E-2</v>
      </c>
      <c r="P20" s="177">
        <f>IFERROR(Inv_SY_B!P20/Inv_SY_B!$BY20-1,"")</f>
        <v>-1.818252766151196E-2</v>
      </c>
      <c r="Q20" s="177">
        <f>IFERROR(Inv_SY_B!Q20/Inv_SY_B!$BY20-1,"")</f>
        <v>1.0415251915576462E-3</v>
      </c>
      <c r="R20" s="177">
        <f>IFERROR(Inv_SY_B!R20/Inv_SY_B!$BY20-1,"")</f>
        <v>1.4429440310796959E-3</v>
      </c>
      <c r="S20" s="177">
        <f>IFERROR(Inv_SY_B!S20/Inv_SY_B!$BY20-1,"")</f>
        <v>-6.8831314174480074E-3</v>
      </c>
      <c r="T20" s="177">
        <f>IFERROR(Inv_SY_B!T20/Inv_SY_B!$BY20-1,"")</f>
        <v>-3.2425632086285794E-2</v>
      </c>
      <c r="U20" s="177">
        <f>IFERROR(Inv_SY_B!U20/Inv_SY_B!$BY20-1,"")</f>
        <v>1.4721136143720503E-3</v>
      </c>
      <c r="V20" s="177">
        <f>IFERROR(Inv_SY_B!V20/Inv_SY_B!$BY20-1,"")</f>
        <v>-4.9756339972655272E-3</v>
      </c>
      <c r="W20" s="177">
        <f>IFERROR(Inv_SY_B!W20/Inv_SY_B!$BY20-1,"")</f>
        <v>-2.6217652046055973E-2</v>
      </c>
      <c r="X20" s="177">
        <f>IFERROR(Inv_SY_B!X20/Inv_SY_B!$BY20-1,"")</f>
        <v>3.2727035634180224E-2</v>
      </c>
      <c r="Y20" s="177">
        <f>IFERROR(Inv_SY_B!Y20/Inv_SY_B!$BY20-1,"")</f>
        <v>1.8789527649815341E-2</v>
      </c>
      <c r="Z20" s="177">
        <f>IFERROR(Inv_SY_B!Z20/Inv_SY_B!$BY20-1,"")</f>
        <v>1.8941538841234618E-2</v>
      </c>
      <c r="AA20" s="177">
        <f>IFERROR(Inv_SY_B!AA20/Inv_SY_B!$BY20-1,"")</f>
        <v>1.0812220029472464E-2</v>
      </c>
      <c r="AB20" s="177">
        <f>IFERROR(Inv_SY_B!AB20/Inv_SY_B!$BY20-1,"")</f>
        <v>1.4634319243778116E-3</v>
      </c>
      <c r="AC20" s="177">
        <f>IFERROR(Inv_SY_B!AC20/Inv_SY_B!$BY20-1,"")</f>
        <v>7.1321605203855665E-3</v>
      </c>
      <c r="AD20" s="177">
        <f>IFERROR(Inv_SY_B!AD20/Inv_SY_B!$BY20-1,"")</f>
        <v>5.0232759262167637E-3</v>
      </c>
      <c r="AE20" s="177">
        <f>IFERROR(Inv_SY_B!AE20/Inv_SY_B!$BZ20-1,"")</f>
        <v>2.2255856794692219E-2</v>
      </c>
      <c r="AF20" s="177">
        <f>IFERROR(Inv_SY_B!AF20/Inv_SY_B!$BZ20-1,"")</f>
        <v>-1.023787721123659E-3</v>
      </c>
      <c r="AG20" s="177">
        <f>IFERROR(Inv_SY_B!AG20/Inv_SY_B!$BZ20-1,"")</f>
        <v>8.9189244146326008E-3</v>
      </c>
      <c r="AH20" s="177">
        <f>IFERROR(Inv_SY_B!AH20/Inv_SY_B!$BZ20-1,"")</f>
        <v>-7.7579763652924072E-3</v>
      </c>
      <c r="AI20" s="177">
        <f>IFERROR(Inv_SY_B!AI20/Inv_SY_B!$BZ20-1,"")</f>
        <v>1.6371375725505066E-2</v>
      </c>
      <c r="AJ20" s="177">
        <f>IFERROR(Inv_SY_B!AJ20/Inv_SY_B!$BZ20-1,"")</f>
        <v>3.133061571743978E-3</v>
      </c>
      <c r="AK20" s="177">
        <f>IFERROR(Inv_SY_B!AK20/Inv_SY_B!$BZ20-1,"")</f>
        <v>6.6514456031692148E-3</v>
      </c>
      <c r="AL20" s="177">
        <f>IFERROR(Inv_SY_B!AL20/Inv_SY_B!$BZ20-1,"")</f>
        <v>1.4535996684366337E-2</v>
      </c>
      <c r="AM20" s="177">
        <f>IFERROR(Inv_SY_B!AM20/Inv_SY_B!$BZ20-1,"")</f>
        <v>2.1874990959278584E-3</v>
      </c>
      <c r="AN20" s="177">
        <f>IFERROR(Inv_SY_B!AN20/Inv_SY_B!$BZ20-1,"")</f>
        <v>8.4195759405021331E-3</v>
      </c>
      <c r="AO20" s="177">
        <f>IFERROR(Inv_SY_B!AO20/Inv_SY_B!$BZ20-1,"")</f>
        <v>1.1495493696407788E-2</v>
      </c>
      <c r="AP20" s="177">
        <f>IFERROR(Inv_SY_B!AP20/Inv_SY_B!$BZ20-1,"")</f>
        <v>-1.4957399004381422E-2</v>
      </c>
      <c r="AQ20" s="177">
        <f>IFERROR(Inv_SY_B!AQ20/Inv_SY_B!$BZ20-1,"")</f>
        <v>-5.6894714739728069E-3</v>
      </c>
      <c r="AR20" s="177">
        <f>IFERROR(Inv_SY_B!AR20/Inv_SY_B!$BZ20-1,"")</f>
        <v>-2.8305404613723217E-3</v>
      </c>
      <c r="AS20" s="177">
        <f>IFERROR(Inv_SY_B!AS20/Inv_SY_B!$BZ20-1,"")</f>
        <v>-1.436658504315047E-2</v>
      </c>
      <c r="AT20" s="177">
        <f>IFERROR(Inv_SY_B!AT20/Inv_SY_B!$BZ20-1,"")</f>
        <v>-4.9619663644475454E-2</v>
      </c>
      <c r="AU20" s="177">
        <f>IFERROR(Inv_SY_B!AU20/Inv_SY_B!$BZ20-1,"")</f>
        <v>7.6174079992132882E-3</v>
      </c>
      <c r="AV20" s="177">
        <f>IFERROR(Inv_SY_B!AV20/Inv_SY_B!$BZ20-1,"")</f>
        <v>-5.3412138123948294E-3</v>
      </c>
      <c r="AW20" s="177">
        <f>IFERROR(Inv_SY_B!AW20/Inv_SY_B!$CA20-1,"")</f>
        <v>-0.13474713715484876</v>
      </c>
      <c r="AX20" s="177">
        <f>IFERROR(Inv_SY_B!AX20/Inv_SY_B!$CA20-1,"")</f>
        <v>-0.11333542290931531</v>
      </c>
      <c r="AY20" s="177">
        <f>IFERROR(Inv_SY_B!AY20/Inv_SY_B!$CA20-1,"")</f>
        <v>9.5802494748391531E-3</v>
      </c>
      <c r="AZ20" s="177">
        <f>IFERROR(Inv_SY_B!AZ20/Inv_SY_B!$CA20-1,"")</f>
        <v>5.762518401058947E-2</v>
      </c>
      <c r="BA20" s="177">
        <f>IFERROR(Inv_SY_B!BA20/Inv_SY_B!$CA20-1,"")</f>
        <v>-3.3558474144118611E-2</v>
      </c>
      <c r="BB20" s="177">
        <f>IFERROR(Inv_SY_B!BB20/Inv_SY_B!$CA20-1,"")</f>
        <v>-1.5590355698217873E-2</v>
      </c>
      <c r="BC20" s="177">
        <f>IFERROR(Inv_SY_B!BC20/Inv_SY_B!$CA20-1,"")</f>
        <v>-2.6042875005872768E-2</v>
      </c>
      <c r="BD20" s="177">
        <f>IFERROR(Inv_SY_B!BD20/Inv_SY_B!$CA20-1,"")</f>
        <v>-1.6811332033400017E-2</v>
      </c>
      <c r="BE20" s="177">
        <f>IFERROR(Inv_SY_B!BE20/Inv_SY_B!$CA20-1,"")</f>
        <v>1.4294118776934761E-2</v>
      </c>
      <c r="BF20" s="177">
        <f>IFERROR(Inv_SY_B!BF20/Inv_SY_B!$CA20-1,"")</f>
        <v>5.5452329250553323E-2</v>
      </c>
      <c r="BG20" s="177">
        <f>IFERROR(Inv_SY_B!BG20/Inv_SY_B!$CA20-1,"")</f>
        <v>4.5241520223293197E-2</v>
      </c>
      <c r="BH20" s="177">
        <f>IFERROR(Inv_SY_B!BH20/Inv_SY_B!$CA20-1,"")</f>
        <v>3.7497887362257343E-2</v>
      </c>
      <c r="BI20" s="177">
        <f>IFERROR(Inv_SY_B!BI20/Inv_SY_B!$CA20-1,"")</f>
        <v>2.0881268684375121E-2</v>
      </c>
      <c r="BJ20" s="177">
        <f>IFERROR(Inv_SY_B!BJ20/Inv_SY_B!$CA20-1,"")</f>
        <v>4.1394113921176423E-2</v>
      </c>
      <c r="BK20" s="177">
        <f>IFERROR(Inv_SY_B!BK20/Inv_SY_B!$CA20-1,"")</f>
        <v>1.4806276723791312E-2</v>
      </c>
      <c r="BL20" s="177">
        <f>IFERROR(Inv_SY_B!BL20/Inv_SY_B!$CA20-1,"")</f>
        <v>1.3187227196972851E-2</v>
      </c>
      <c r="BM20" s="177">
        <f>IFERROR(Inv_SY_B!BM20/Inv_SY_B!$CA20-1,"")</f>
        <v>4.8645217127251117E-2</v>
      </c>
      <c r="BN20" s="177">
        <f>IFERROR(Inv_SY_B!BN20/Inv_SY_B!$CA20-1,"")</f>
        <v>3.1713453893877919E-2</v>
      </c>
      <c r="BO20" s="177">
        <f>IFERROR(Inv_SY_B!BO20/Inv_SY_B!$CA20-1,"")</f>
        <v>-9.7294686324711499E-4</v>
      </c>
      <c r="BP20" s="177">
        <f>IFERROR(Inv_SY_B!BP20/Inv_SY_B!$CA20-1,"")</f>
        <v>3.2816319941296967E-2</v>
      </c>
      <c r="BQ20" s="177">
        <f>IFERROR(Inv_SY_B!BQ20/Inv_SY_B!$CA20-1,"")</f>
        <v>-4.9395019828561981E-3</v>
      </c>
      <c r="BR20" s="177">
        <f>IFERROR(Inv_SY_B!BR20/Inv_SY_B!$CA20-1,"")</f>
        <v>8.1621467966945804E-2</v>
      </c>
      <c r="BS20" s="177">
        <f>IFERROR(Inv_SY_B!BS20/Inv_SY_B!$CA20-1,"")</f>
        <v>1.604164184523027E-2</v>
      </c>
      <c r="BT20" s="177">
        <f>IFERROR(Inv_SY_B!BT20/Inv_SY_B!$CA20-1,"")</f>
        <v>-1.4954229586772172E-2</v>
      </c>
      <c r="BU20" s="177">
        <f>IFERROR(Inv_SY_B!BU20/Inv_SY_B!$CA20-1,"")</f>
        <v>-0.32902999551503465</v>
      </c>
      <c r="BV20" s="177">
        <f>IFERROR(Inv_SY_B!BV20/Inv_SY_B!$CA20-1,"")</f>
        <v>0.11462376526651785</v>
      </c>
      <c r="BW20" s="177">
        <f>IFERROR(Inv_SY_B!BW20/Inv_SY_B!$CA20-1,"")</f>
        <v>3.8166468926253971E-2</v>
      </c>
      <c r="BX20" s="177">
        <f>IFERROR(Inv_SY_B!BX20/Inv_SY_B!$CA20-1,"")</f>
        <v>1.6393760301525839E-2</v>
      </c>
    </row>
    <row r="21" spans="1:76">
      <c r="A21"/>
      <c r="B21" s="173">
        <f t="shared" si="1"/>
        <v>45854</v>
      </c>
      <c r="C21" s="177">
        <f>IFERROR(Inv_SY_B!C21/Inv_SY_B!$BY21-1,"")</f>
        <v>-1.2393230475646888E-3</v>
      </c>
      <c r="D21" s="177">
        <f>IFERROR(Inv_SY_B!D21/Inv_SY_B!$BY21-1,"")</f>
        <v>9.0937389856264872E-3</v>
      </c>
      <c r="E21" s="177">
        <f>IFERROR(Inv_SY_B!E21/Inv_SY_B!$BY21-1,"")</f>
        <v>1.4748266917822495E-2</v>
      </c>
      <c r="F21" s="177">
        <f>IFERROR(Inv_SY_B!F21/Inv_SY_B!$BY21-1,"")</f>
        <v>4.3365392787810819E-3</v>
      </c>
      <c r="G21" s="177">
        <f>IFERROR(Inv_SY_B!G21/Inv_SY_B!$BY21-1,"")</f>
        <v>1.0266202740480956E-3</v>
      </c>
      <c r="H21" s="177">
        <f>IFERROR(Inv_SY_B!H21/Inv_SY_B!$BY21-1,"")</f>
        <v>-8.2038053287913915E-3</v>
      </c>
      <c r="I21" s="177">
        <f>IFERROR(Inv_SY_B!I21/Inv_SY_B!$BY21-1,"")</f>
        <v>1.5095019616793826E-2</v>
      </c>
      <c r="J21" s="177">
        <f>IFERROR(Inv_SY_B!J21/Inv_SY_B!$BY21-1,"")</f>
        <v>-1.1739529222611678E-2</v>
      </c>
      <c r="K21" s="177">
        <f>IFERROR(Inv_SY_B!K21/Inv_SY_B!$BY21-1,"")</f>
        <v>-6.9289701054657815E-3</v>
      </c>
      <c r="L21" s="177">
        <f>IFERROR(Inv_SY_B!L21/Inv_SY_B!$BY21-1,"")</f>
        <v>2.2502424209017491E-2</v>
      </c>
      <c r="M21" s="177">
        <f>IFERROR(Inv_SY_B!M21/Inv_SY_B!$BY21-1,"")</f>
        <v>4.5724788166106034E-2</v>
      </c>
      <c r="N21" s="177">
        <f>IFERROR(Inv_SY_B!N21/Inv_SY_B!$BY21-1,"")</f>
        <v>1.2098123841771447E-2</v>
      </c>
      <c r="O21" s="177">
        <f>IFERROR(Inv_SY_B!O21/Inv_SY_B!$BY21-1,"")</f>
        <v>3.9064585448305156E-2</v>
      </c>
      <c r="P21" s="177">
        <f>IFERROR(Inv_SY_B!P21/Inv_SY_B!$BY21-1,"")</f>
        <v>-1.4699128118334737E-2</v>
      </c>
      <c r="Q21" s="177">
        <f>IFERROR(Inv_SY_B!Q21/Inv_SY_B!$BY21-1,"")</f>
        <v>7.0003141662982049E-3</v>
      </c>
      <c r="R21" s="177">
        <f>IFERROR(Inv_SY_B!R21/Inv_SY_B!$BY21-1,"")</f>
        <v>1.5971720858079852E-2</v>
      </c>
      <c r="S21" s="177">
        <f>IFERROR(Inv_SY_B!S21/Inv_SY_B!$BY21-1,"")</f>
        <v>2.1155745108303314E-4</v>
      </c>
      <c r="T21" s="177">
        <f>IFERROR(Inv_SY_B!T21/Inv_SY_B!$BY21-1,"")</f>
        <v>-2.1403611639810194E-2</v>
      </c>
      <c r="U21" s="177">
        <f>IFERROR(Inv_SY_B!U21/Inv_SY_B!$BY21-1,"")</f>
        <v>7.9348017294571527E-3</v>
      </c>
      <c r="V21" s="177">
        <f>IFERROR(Inv_SY_B!V21/Inv_SY_B!$BY21-1,"")</f>
        <v>-2.4192207087436746E-4</v>
      </c>
      <c r="W21" s="177">
        <f>IFERROR(Inv_SY_B!W21/Inv_SY_B!$BY21-1,"")</f>
        <v>-4.1951947282617974E-2</v>
      </c>
      <c r="X21" s="177">
        <f>IFERROR(Inv_SY_B!X21/Inv_SY_B!$BY21-1,"")</f>
        <v>-5.6108717954582721E-3</v>
      </c>
      <c r="Y21" s="177">
        <f>IFERROR(Inv_SY_B!Y21/Inv_SY_B!$BY21-1,"")</f>
        <v>-6.3980942403306651E-3</v>
      </c>
      <c r="Z21" s="177">
        <f>IFERROR(Inv_SY_B!Z21/Inv_SY_B!$BY21-1,"")</f>
        <v>-1.1497228957448202E-2</v>
      </c>
      <c r="AA21" s="177">
        <f>IFERROR(Inv_SY_B!AA21/Inv_SY_B!$BY21-1,"")</f>
        <v>-1.0707421931651417E-2</v>
      </c>
      <c r="AB21" s="177">
        <f>IFERROR(Inv_SY_B!AB21/Inv_SY_B!$BY21-1,"")</f>
        <v>-2.2672542803748752E-2</v>
      </c>
      <c r="AC21" s="177">
        <f>IFERROR(Inv_SY_B!AC21/Inv_SY_B!$BY21-1,"")</f>
        <v>-1.2627318013865296E-2</v>
      </c>
      <c r="AD21" s="177">
        <f>IFERROR(Inv_SY_B!AD21/Inv_SY_B!$BY21-1,"")</f>
        <v>-1.8886786384620158E-2</v>
      </c>
      <c r="AE21" s="177">
        <f>IFERROR(Inv_SY_B!AE21/Inv_SY_B!$BZ21-1,"")</f>
        <v>1.4909541141179261E-2</v>
      </c>
      <c r="AF21" s="177">
        <f>IFERROR(Inv_SY_B!AF21/Inv_SY_B!$BZ21-1,"")</f>
        <v>-2.5191386996344933E-3</v>
      </c>
      <c r="AG21" s="177">
        <f>IFERROR(Inv_SY_B!AG21/Inv_SY_B!$BZ21-1,"")</f>
        <v>9.2666306957487343E-3</v>
      </c>
      <c r="AH21" s="177">
        <f>IFERROR(Inv_SY_B!AH21/Inv_SY_B!$BZ21-1,"")</f>
        <v>7.1407677009185377E-3</v>
      </c>
      <c r="AI21" s="177">
        <f>IFERROR(Inv_SY_B!AI21/Inv_SY_B!$BZ21-1,"")</f>
        <v>1.3158552924203315E-2</v>
      </c>
      <c r="AJ21" s="177">
        <f>IFERROR(Inv_SY_B!AJ21/Inv_SY_B!$BZ21-1,"")</f>
        <v>-3.3578035012181706E-3</v>
      </c>
      <c r="AK21" s="177">
        <f>IFERROR(Inv_SY_B!AK21/Inv_SY_B!$BZ21-1,"")</f>
        <v>-1.9055540708912133E-5</v>
      </c>
      <c r="AL21" s="177">
        <f>IFERROR(Inv_SY_B!AL21/Inv_SY_B!$BZ21-1,"")</f>
        <v>7.7607088137929825E-3</v>
      </c>
      <c r="AM21" s="177">
        <f>IFERROR(Inv_SY_B!AM21/Inv_SY_B!$BZ21-1,"")</f>
        <v>4.8477954078676166E-3</v>
      </c>
      <c r="AN21" s="177">
        <f>IFERROR(Inv_SY_B!AN21/Inv_SY_B!$BZ21-1,"")</f>
        <v>1.7074574813515486E-2</v>
      </c>
      <c r="AO21" s="177">
        <f>IFERROR(Inv_SY_B!AO21/Inv_SY_B!$BZ21-1,"")</f>
        <v>2.0436542691592452E-2</v>
      </c>
      <c r="AP21" s="177">
        <f>IFERROR(Inv_SY_B!AP21/Inv_SY_B!$BZ21-1,"")</f>
        <v>1.3205140085917666E-2</v>
      </c>
      <c r="AQ21" s="177">
        <f>IFERROR(Inv_SY_B!AQ21/Inv_SY_B!$BZ21-1,"")</f>
        <v>1.3078715228021842E-2</v>
      </c>
      <c r="AR21" s="177">
        <f>IFERROR(Inv_SY_B!AR21/Inv_SY_B!$BZ21-1,"")</f>
        <v>1.3209981052574093E-2</v>
      </c>
      <c r="AS21" s="177">
        <f>IFERROR(Inv_SY_B!AS21/Inv_SY_B!$BZ21-1,"")</f>
        <v>-1.7263897868230904E-2</v>
      </c>
      <c r="AT21" s="177">
        <f>IFERROR(Inv_SY_B!AT21/Inv_SY_B!$BZ21-1,"")</f>
        <v>-4.3926671665644346E-2</v>
      </c>
      <c r="AU21" s="177">
        <f>IFERROR(Inv_SY_B!AU21/Inv_SY_B!$BZ21-1,"")</f>
        <v>-3.1752960135139841E-2</v>
      </c>
      <c r="AV21" s="177">
        <f>IFERROR(Inv_SY_B!AV21/Inv_SY_B!$BZ21-1,"")</f>
        <v>-3.5249423144750325E-2</v>
      </c>
      <c r="AW21" s="177">
        <f>IFERROR(Inv_SY_B!AW21/Inv_SY_B!$CA21-1,"")</f>
        <v>-0.16921637970424985</v>
      </c>
      <c r="AX21" s="177">
        <f>IFERROR(Inv_SY_B!AX21/Inv_SY_B!$CA21-1,"")</f>
        <v>-0.13907108712087457</v>
      </c>
      <c r="AY21" s="177">
        <f>IFERROR(Inv_SY_B!AY21/Inv_SY_B!$CA21-1,"")</f>
        <v>-1.2349703581583715E-2</v>
      </c>
      <c r="AZ21" s="177">
        <f>IFERROR(Inv_SY_B!AZ21/Inv_SY_B!$CA21-1,"")</f>
        <v>5.3207953412891973E-2</v>
      </c>
      <c r="BA21" s="177">
        <f>IFERROR(Inv_SY_B!BA21/Inv_SY_B!$CA21-1,"")</f>
        <v>-2.4638677693857858E-2</v>
      </c>
      <c r="BB21" s="177">
        <f>IFERROR(Inv_SY_B!BB21/Inv_SY_B!$CA21-1,"")</f>
        <v>1.006827877243377E-2</v>
      </c>
      <c r="BC21" s="177">
        <f>IFERROR(Inv_SY_B!BC21/Inv_SY_B!$CA21-1,"")</f>
        <v>4.0619019285832447E-3</v>
      </c>
      <c r="BD21" s="177">
        <f>IFERROR(Inv_SY_B!BD21/Inv_SY_B!$CA21-1,"")</f>
        <v>3.3271113974902011E-3</v>
      </c>
      <c r="BE21" s="177">
        <f>IFERROR(Inv_SY_B!BE21/Inv_SY_B!$CA21-1,"")</f>
        <v>3.2108609969383695E-2</v>
      </c>
      <c r="BF21" s="177">
        <f>IFERROR(Inv_SY_B!BF21/Inv_SY_B!$CA21-1,"")</f>
        <v>4.7607296753958028E-2</v>
      </c>
      <c r="BG21" s="177">
        <f>IFERROR(Inv_SY_B!BG21/Inv_SY_B!$CA21-1,"")</f>
        <v>4.3755654814327416E-2</v>
      </c>
      <c r="BH21" s="177">
        <f>IFERROR(Inv_SY_B!BH21/Inv_SY_B!$CA21-1,"")</f>
        <v>3.6786173014144552E-2</v>
      </c>
      <c r="BI21" s="177">
        <f>IFERROR(Inv_SY_B!BI21/Inv_SY_B!$CA21-1,"")</f>
        <v>2.72157041515253E-2</v>
      </c>
      <c r="BJ21" s="177">
        <f>IFERROR(Inv_SY_B!BJ21/Inv_SY_B!$CA21-1,"")</f>
        <v>4.1494462058436987E-2</v>
      </c>
      <c r="BK21" s="177">
        <f>IFERROR(Inv_SY_B!BK21/Inv_SY_B!$CA21-1,"")</f>
        <v>1.3977409970153509E-2</v>
      </c>
      <c r="BL21" s="177">
        <f>IFERROR(Inv_SY_B!BL21/Inv_SY_B!$CA21-1,"")</f>
        <v>2.1976809209682369E-2</v>
      </c>
      <c r="BM21" s="177">
        <f>IFERROR(Inv_SY_B!BM21/Inv_SY_B!$CA21-1,"")</f>
        <v>7.2256840997764193E-3</v>
      </c>
      <c r="BN21" s="177">
        <f>IFERROR(Inv_SY_B!BN21/Inv_SY_B!$CA21-1,"")</f>
        <v>-6.2016196053849004E-4</v>
      </c>
      <c r="BO21" s="177">
        <f>IFERROR(Inv_SY_B!BO21/Inv_SY_B!$CA21-1,"")</f>
        <v>-2.2291054472055039E-2</v>
      </c>
      <c r="BP21" s="177">
        <f>IFERROR(Inv_SY_B!BP21/Inv_SY_B!$CA21-1,"")</f>
        <v>6.3809410088966345E-4</v>
      </c>
      <c r="BQ21" s="177">
        <f>IFERROR(Inv_SY_B!BQ21/Inv_SY_B!$CA21-1,"")</f>
        <v>-1.3759655260835002E-2</v>
      </c>
      <c r="BR21" s="177">
        <f>IFERROR(Inv_SY_B!BR21/Inv_SY_B!$CA21-1,"")</f>
        <v>7.7252628778838872E-2</v>
      </c>
      <c r="BS21" s="177">
        <f>IFERROR(Inv_SY_B!BS21/Inv_SY_B!$CA21-1,"")</f>
        <v>-7.6178161791340404E-3</v>
      </c>
      <c r="BT21" s="177">
        <f>IFERROR(Inv_SY_B!BT21/Inv_SY_B!$CA21-1,"")</f>
        <v>-1.5697932494211697E-2</v>
      </c>
      <c r="BU21" s="177">
        <f>IFERROR(Inv_SY_B!BU21/Inv_SY_B!$CA21-1,"")</f>
        <v>-0.11797080294908657</v>
      </c>
      <c r="BV21" s="177">
        <f>IFERROR(Inv_SY_B!BV21/Inv_SY_B!$CA21-1,"")</f>
        <v>0.1201794516745831</v>
      </c>
      <c r="BW21" s="177">
        <f>IFERROR(Inv_SY_B!BW21/Inv_SY_B!$CA21-1,"")</f>
        <v>2.8753425519958409E-3</v>
      </c>
      <c r="BX21" s="177">
        <f>IFERROR(Inv_SY_B!BX21/Inv_SY_B!$CA21-1,"")</f>
        <v>-2.0525295242671993E-2</v>
      </c>
    </row>
    <row r="22" spans="1:76">
      <c r="A22"/>
      <c r="B22" s="173">
        <f t="shared" si="1"/>
        <v>45855</v>
      </c>
      <c r="C22" s="177">
        <f>IFERROR(Inv_SY_B!C22/Inv_SY_B!$BY22-1,"")</f>
        <v>-3.4195368004785398E-2</v>
      </c>
      <c r="D22" s="177">
        <f>IFERROR(Inv_SY_B!D22/Inv_SY_B!$BY22-1,"")</f>
        <v>-3.3230172188612572E-2</v>
      </c>
      <c r="E22" s="177">
        <f>IFERROR(Inv_SY_B!E22/Inv_SY_B!$BY22-1,"")</f>
        <v>-2.7062453693008082E-2</v>
      </c>
      <c r="F22" s="177">
        <f>IFERROR(Inv_SY_B!F22/Inv_SY_B!$BY22-1,"")</f>
        <v>-1.904365800726826E-2</v>
      </c>
      <c r="G22" s="177">
        <f>IFERROR(Inv_SY_B!G22/Inv_SY_B!$BY22-1,"")</f>
        <v>-1.699618649059309E-2</v>
      </c>
      <c r="H22" s="177">
        <f>IFERROR(Inv_SY_B!H22/Inv_SY_B!$BY22-1,"")</f>
        <v>-3.2766245119741022E-2</v>
      </c>
      <c r="I22" s="177">
        <f>IFERROR(Inv_SY_B!I22/Inv_SY_B!$BY22-1,"")</f>
        <v>-1.7037537765648092E-2</v>
      </c>
      <c r="J22" s="177">
        <f>IFERROR(Inv_SY_B!J22/Inv_SY_B!$BY22-1,"")</f>
        <v>-4.0038789968793842E-2</v>
      </c>
      <c r="K22" s="177">
        <f>IFERROR(Inv_SY_B!K22/Inv_SY_B!$BY22-1,"")</f>
        <v>-3.8730384615529023E-2</v>
      </c>
      <c r="L22" s="177">
        <f>IFERROR(Inv_SY_B!L22/Inv_SY_B!$BY22-1,"")</f>
        <v>3.7597899795192014E-3</v>
      </c>
      <c r="M22" s="177">
        <f>IFERROR(Inv_SY_B!M22/Inv_SY_B!$BY22-1,"")</f>
        <v>3.9335970073974158E-2</v>
      </c>
      <c r="N22" s="177">
        <f>IFERROR(Inv_SY_B!N22/Inv_SY_B!$BY22-1,"")</f>
        <v>-1.5084186225451934E-2</v>
      </c>
      <c r="O22" s="177">
        <f>IFERROR(Inv_SY_B!O22/Inv_SY_B!$BY22-1,"")</f>
        <v>1.0477920856229117E-2</v>
      </c>
      <c r="P22" s="177">
        <f>IFERROR(Inv_SY_B!P22/Inv_SY_B!$BY22-1,"")</f>
        <v>-5.5460645653739871E-3</v>
      </c>
      <c r="Q22" s="177">
        <f>IFERROR(Inv_SY_B!Q22/Inv_SY_B!$BY22-1,"")</f>
        <v>-6.7598345591388664E-3</v>
      </c>
      <c r="R22" s="177">
        <f>IFERROR(Inv_SY_B!R22/Inv_SY_B!$BY22-1,"")</f>
        <v>-1.6040525470714107E-2</v>
      </c>
      <c r="S22" s="177">
        <f>IFERROR(Inv_SY_B!S22/Inv_SY_B!$BY22-1,"")</f>
        <v>-2.7646148653785119E-2</v>
      </c>
      <c r="T22" s="177">
        <f>IFERROR(Inv_SY_B!T22/Inv_SY_B!$BY22-1,"")</f>
        <v>-1.5947780616798801E-2</v>
      </c>
      <c r="U22" s="177">
        <f>IFERROR(Inv_SY_B!U22/Inv_SY_B!$BY22-1,"")</f>
        <v>-2.1181547636104581E-2</v>
      </c>
      <c r="V22" s="177">
        <f>IFERROR(Inv_SY_B!V22/Inv_SY_B!$BY22-1,"")</f>
        <v>-2.3367855694565787E-2</v>
      </c>
      <c r="W22" s="177">
        <f>IFERROR(Inv_SY_B!W22/Inv_SY_B!$BY22-1,"")</f>
        <v>1.8713861104509011E-2</v>
      </c>
      <c r="X22" s="177">
        <f>IFERROR(Inv_SY_B!X22/Inv_SY_B!$BY22-1,"")</f>
        <v>5.355753094768767E-2</v>
      </c>
      <c r="Y22" s="177">
        <f>IFERROR(Inv_SY_B!Y22/Inv_SY_B!$BY22-1,"")</f>
        <v>5.279212480853035E-2</v>
      </c>
      <c r="Z22" s="177">
        <f>IFERROR(Inv_SY_B!Z22/Inv_SY_B!$BY22-1,"")</f>
        <v>4.3571020470082766E-2</v>
      </c>
      <c r="AA22" s="177">
        <f>IFERROR(Inv_SY_B!AA22/Inv_SY_B!$BY22-1,"")</f>
        <v>5.2735830655737059E-2</v>
      </c>
      <c r="AB22" s="177">
        <f>IFERROR(Inv_SY_B!AB22/Inv_SY_B!$BY22-1,"")</f>
        <v>3.0923010097987147E-2</v>
      </c>
      <c r="AC22" s="177">
        <f>IFERROR(Inv_SY_B!AC22/Inv_SY_B!$BY22-1,"")</f>
        <v>4.6412686196107611E-2</v>
      </c>
      <c r="AD22" s="177">
        <f>IFERROR(Inv_SY_B!AD22/Inv_SY_B!$BY22-1,"")</f>
        <v>3.8394994085551915E-2</v>
      </c>
      <c r="AE22" s="177">
        <f>IFERROR(Inv_SY_B!AE22/Inv_SY_B!$BZ22-1,"")</f>
        <v>-1.1549115958973011E-2</v>
      </c>
      <c r="AF22" s="177">
        <f>IFERROR(Inv_SY_B!AF22/Inv_SY_B!$BZ22-1,"")</f>
        <v>-1.6045838417842573E-2</v>
      </c>
      <c r="AG22" s="177">
        <f>IFERROR(Inv_SY_B!AG22/Inv_SY_B!$BZ22-1,"")</f>
        <v>9.0356134318372305E-3</v>
      </c>
      <c r="AH22" s="177">
        <f>IFERROR(Inv_SY_B!AH22/Inv_SY_B!$BZ22-1,"")</f>
        <v>7.0628628493323298E-3</v>
      </c>
      <c r="AI22" s="177">
        <f>IFERROR(Inv_SY_B!AI22/Inv_SY_B!$BZ22-1,"")</f>
        <v>-8.4500833066039061E-3</v>
      </c>
      <c r="AJ22" s="177">
        <f>IFERROR(Inv_SY_B!AJ22/Inv_SY_B!$BZ22-1,"")</f>
        <v>-1.8304982083678034E-2</v>
      </c>
      <c r="AK22" s="177">
        <f>IFERROR(Inv_SY_B!AK22/Inv_SY_B!$BZ22-1,"")</f>
        <v>-1.9913968154460227E-2</v>
      </c>
      <c r="AL22" s="177">
        <f>IFERROR(Inv_SY_B!AL22/Inv_SY_B!$BZ22-1,"")</f>
        <v>-1.4141124171842545E-3</v>
      </c>
      <c r="AM22" s="177">
        <f>IFERROR(Inv_SY_B!AM22/Inv_SY_B!$BZ22-1,"")</f>
        <v>7.8894654453685042E-3</v>
      </c>
      <c r="AN22" s="177">
        <f>IFERROR(Inv_SY_B!AN22/Inv_SY_B!$BZ22-1,"")</f>
        <v>2.2462013109936896E-2</v>
      </c>
      <c r="AO22" s="177">
        <f>IFERROR(Inv_SY_B!AO22/Inv_SY_B!$BZ22-1,"")</f>
        <v>2.6941972658789171E-2</v>
      </c>
      <c r="AP22" s="177">
        <f>IFERROR(Inv_SY_B!AP22/Inv_SY_B!$BZ22-1,"")</f>
        <v>2.2157713970769599E-2</v>
      </c>
      <c r="AQ22" s="177">
        <f>IFERROR(Inv_SY_B!AQ22/Inv_SY_B!$BZ22-1,"")</f>
        <v>2.4192895133499093E-2</v>
      </c>
      <c r="AR22" s="177">
        <f>IFERROR(Inv_SY_B!AR22/Inv_SY_B!$BZ22-1,"")</f>
        <v>2.0063032586478124E-2</v>
      </c>
      <c r="AS22" s="177">
        <f>IFERROR(Inv_SY_B!AS22/Inv_SY_B!$BZ22-1,"")</f>
        <v>-2.6282826979189267E-2</v>
      </c>
      <c r="AT22" s="177">
        <f>IFERROR(Inv_SY_B!AT22/Inv_SY_B!$BZ22-1,"")</f>
        <v>-2.1606580517253282E-2</v>
      </c>
      <c r="AU22" s="177">
        <f>IFERROR(Inv_SY_B!AU22/Inv_SY_B!$BZ22-1,"")</f>
        <v>-1.0183763090833908E-2</v>
      </c>
      <c r="AV22" s="177">
        <f>IFERROR(Inv_SY_B!AV22/Inv_SY_B!$BZ22-1,"")</f>
        <v>-6.0542982599921524E-3</v>
      </c>
      <c r="AW22" s="177">
        <f>IFERROR(Inv_SY_B!AW22/Inv_SY_B!$CA22-1,"")</f>
        <v>-0.14716394979855896</v>
      </c>
      <c r="AX22" s="177">
        <f>IFERROR(Inv_SY_B!AX22/Inv_SY_B!$CA22-1,"")</f>
        <v>-0.12157658272924832</v>
      </c>
      <c r="AY22" s="177">
        <f>IFERROR(Inv_SY_B!AY22/Inv_SY_B!$CA22-1,"")</f>
        <v>-4.1252216185924229E-2</v>
      </c>
      <c r="AZ22" s="177">
        <f>IFERROR(Inv_SY_B!AZ22/Inv_SY_B!$CA22-1,"")</f>
        <v>2.0053945318169619E-2</v>
      </c>
      <c r="BA22" s="177">
        <f>IFERROR(Inv_SY_B!BA22/Inv_SY_B!$CA22-1,"")</f>
        <v>-4.3908476691852383E-2</v>
      </c>
      <c r="BB22" s="177">
        <f>IFERROR(Inv_SY_B!BB22/Inv_SY_B!$CA22-1,"")</f>
        <v>-1.2377313758754394E-2</v>
      </c>
      <c r="BC22" s="177">
        <f>IFERROR(Inv_SY_B!BC22/Inv_SY_B!$CA22-1,"")</f>
        <v>-1.3438630229619664E-2</v>
      </c>
      <c r="BD22" s="177">
        <f>IFERROR(Inv_SY_B!BD22/Inv_SY_B!$CA22-1,"")</f>
        <v>-5.3915766345489224E-3</v>
      </c>
      <c r="BE22" s="177">
        <f>IFERROR(Inv_SY_B!BE22/Inv_SY_B!$CA22-1,"")</f>
        <v>2.9869745632087996E-2</v>
      </c>
      <c r="BF22" s="177">
        <f>IFERROR(Inv_SY_B!BF22/Inv_SY_B!$CA22-1,"")</f>
        <v>4.6950539417873083E-2</v>
      </c>
      <c r="BG22" s="177">
        <f>IFERROR(Inv_SY_B!BG22/Inv_SY_B!$CA22-1,"")</f>
        <v>4.8914268618663881E-2</v>
      </c>
      <c r="BH22" s="177">
        <f>IFERROR(Inv_SY_B!BH22/Inv_SY_B!$CA22-1,"")</f>
        <v>4.193667550854685E-2</v>
      </c>
      <c r="BI22" s="177">
        <f>IFERROR(Inv_SY_B!BI22/Inv_SY_B!$CA22-1,"")</f>
        <v>2.9208535806159341E-2</v>
      </c>
      <c r="BJ22" s="177">
        <f>IFERROR(Inv_SY_B!BJ22/Inv_SY_B!$CA22-1,"")</f>
        <v>4.8660357831687984E-2</v>
      </c>
      <c r="BK22" s="177">
        <f>IFERROR(Inv_SY_B!BK22/Inv_SY_B!$CA22-1,"")</f>
        <v>2.0189711459744242E-2</v>
      </c>
      <c r="BL22" s="177">
        <f>IFERROR(Inv_SY_B!BL22/Inv_SY_B!$CA22-1,"")</f>
        <v>1.7637391232129485E-2</v>
      </c>
      <c r="BM22" s="177">
        <f>IFERROR(Inv_SY_B!BM22/Inv_SY_B!$CA22-1,"")</f>
        <v>3.1920006141305413E-2</v>
      </c>
      <c r="BN22" s="177">
        <f>IFERROR(Inv_SY_B!BN22/Inv_SY_B!$CA22-1,"")</f>
        <v>2.3845259155457876E-2</v>
      </c>
      <c r="BO22" s="177">
        <f>IFERROR(Inv_SY_B!BO22/Inv_SY_B!$CA22-1,"")</f>
        <v>-6.9922122834733536E-3</v>
      </c>
      <c r="BP22" s="177">
        <f>IFERROR(Inv_SY_B!BP22/Inv_SY_B!$CA22-1,"")</f>
        <v>1.9834180653989453E-2</v>
      </c>
      <c r="BQ22" s="177">
        <f>IFERROR(Inv_SY_B!BQ22/Inv_SY_B!$CA22-1,"")</f>
        <v>-1.6551820743721857E-2</v>
      </c>
      <c r="BR22" s="177">
        <f>IFERROR(Inv_SY_B!BR22/Inv_SY_B!$CA22-1,"")</f>
        <v>6.1025514689515115E-2</v>
      </c>
      <c r="BS22" s="177">
        <f>IFERROR(Inv_SY_B!BS22/Inv_SY_B!$CA22-1,"")</f>
        <v>-3.6113998389813662E-2</v>
      </c>
      <c r="BT22" s="177">
        <f>IFERROR(Inv_SY_B!BT22/Inv_SY_B!$CA22-1,"")</f>
        <v>2.7123764021315555E-2</v>
      </c>
      <c r="BU22" s="177">
        <f>IFERROR(Inv_SY_B!BU22/Inv_SY_B!$CA22-1,"")</f>
        <v>-8.4885472403163797E-2</v>
      </c>
      <c r="BV22" s="177">
        <f>IFERROR(Inv_SY_B!BV22/Inv_SY_B!$CA22-1,"")</f>
        <v>4.2535180553446184E-2</v>
      </c>
      <c r="BW22" s="177">
        <f>IFERROR(Inv_SY_B!BW22/Inv_SY_B!$CA22-1,"")</f>
        <v>1.4228900849037496E-2</v>
      </c>
      <c r="BX22" s="177">
        <f>IFERROR(Inv_SY_B!BX22/Inv_SY_B!$CA22-1,"")</f>
        <v>5.7182729595470771E-3</v>
      </c>
    </row>
    <row r="23" spans="1:76">
      <c r="A23"/>
      <c r="B23" s="173">
        <f t="shared" si="1"/>
        <v>45856</v>
      </c>
      <c r="C23" s="177">
        <f>IFERROR(Inv_SY_B!C23/Inv_SY_B!$BY23-1,"")</f>
        <v>7.1455853860586949E-3</v>
      </c>
      <c r="D23" s="177">
        <f>IFERROR(Inv_SY_B!D23/Inv_SY_B!$BY23-1,"")</f>
        <v>2.8326669737741561E-3</v>
      </c>
      <c r="E23" s="177">
        <f>IFERROR(Inv_SY_B!E23/Inv_SY_B!$BY23-1,"")</f>
        <v>-6.9852096862319524E-3</v>
      </c>
      <c r="F23" s="177">
        <f>IFERROR(Inv_SY_B!F23/Inv_SY_B!$BY23-1,"")</f>
        <v>-1.6137670868885734E-2</v>
      </c>
      <c r="G23" s="177">
        <f>IFERROR(Inv_SY_B!G23/Inv_SY_B!$BY23-1,"")</f>
        <v>-1.539643368886956E-2</v>
      </c>
      <c r="H23" s="177">
        <f>IFERROR(Inv_SY_B!H23/Inv_SY_B!$BY23-1,"")</f>
        <v>-1.4665320685123717E-2</v>
      </c>
      <c r="I23" s="177">
        <f>IFERROR(Inv_SY_B!I23/Inv_SY_B!$BY23-1,"")</f>
        <v>3.2982476440661657E-3</v>
      </c>
      <c r="J23" s="177">
        <f>IFERROR(Inv_SY_B!J23/Inv_SY_B!$BY23-1,"")</f>
        <v>1.3580340953010417E-2</v>
      </c>
      <c r="K23" s="177">
        <f>IFERROR(Inv_SY_B!K23/Inv_SY_B!$BY23-1,"")</f>
        <v>-2.4052240222957155E-2</v>
      </c>
      <c r="L23" s="177">
        <f>IFERROR(Inv_SY_B!L23/Inv_SY_B!$BY23-1,"")</f>
        <v>5.8436411314439773E-3</v>
      </c>
      <c r="M23" s="177">
        <f>IFERROR(Inv_SY_B!M23/Inv_SY_B!$BY23-1,"")</f>
        <v>3.5527057325318134E-2</v>
      </c>
      <c r="N23" s="177">
        <f>IFERROR(Inv_SY_B!N23/Inv_SY_B!$BY23-1,"")</f>
        <v>-9.2454108317420181E-3</v>
      </c>
      <c r="O23" s="177">
        <f>IFERROR(Inv_SY_B!O23/Inv_SY_B!$BY23-1,"")</f>
        <v>1.8369443447917355E-2</v>
      </c>
      <c r="P23" s="177">
        <f>IFERROR(Inv_SY_B!P23/Inv_SY_B!$BY23-1,"")</f>
        <v>-2.4695489899887679E-2</v>
      </c>
      <c r="Q23" s="177">
        <f>IFERROR(Inv_SY_B!Q23/Inv_SY_B!$BY23-1,"")</f>
        <v>7.5050661438955668E-3</v>
      </c>
      <c r="R23" s="177">
        <f>IFERROR(Inv_SY_B!R23/Inv_SY_B!$BY23-1,"")</f>
        <v>8.7539379733017064E-3</v>
      </c>
      <c r="S23" s="177">
        <f>IFERROR(Inv_SY_B!S23/Inv_SY_B!$BY23-1,"")</f>
        <v>-7.4852761319510464E-3</v>
      </c>
      <c r="T23" s="177">
        <f>IFERROR(Inv_SY_B!T23/Inv_SY_B!$BY23-1,"")</f>
        <v>6.4505531760057355E-3</v>
      </c>
      <c r="U23" s="177">
        <f>IFERROR(Inv_SY_B!U23/Inv_SY_B!$BY23-1,"")</f>
        <v>7.521616823775279E-3</v>
      </c>
      <c r="V23" s="177">
        <f>IFERROR(Inv_SY_B!V23/Inv_SY_B!$BY23-1,"")</f>
        <v>1.2648520546806319E-2</v>
      </c>
      <c r="W23" s="177">
        <f>IFERROR(Inv_SY_B!W23/Inv_SY_B!$BY23-1,"")</f>
        <v>-1.6606623361322015E-2</v>
      </c>
      <c r="X23" s="177">
        <f>IFERROR(Inv_SY_B!X23/Inv_SY_B!$BY23-1,"")</f>
        <v>-8.2484614807752932E-3</v>
      </c>
      <c r="Y23" s="177">
        <f>IFERROR(Inv_SY_B!Y23/Inv_SY_B!$BY23-1,"")</f>
        <v>1.1516995711393641E-2</v>
      </c>
      <c r="Z23" s="177">
        <f>IFERROR(Inv_SY_B!Z23/Inv_SY_B!$BY23-1,"")</f>
        <v>9.175335820644781E-3</v>
      </c>
      <c r="AA23" s="177">
        <f>IFERROR(Inv_SY_B!AA23/Inv_SY_B!$BY23-1,"")</f>
        <v>5.367461974358223E-3</v>
      </c>
      <c r="AB23" s="177">
        <f>IFERROR(Inv_SY_B!AB23/Inv_SY_B!$BY23-1,"")</f>
        <v>-1.4006617835625179E-2</v>
      </c>
      <c r="AC23" s="177">
        <f>IFERROR(Inv_SY_B!AC23/Inv_SY_B!$BY23-1,"")</f>
        <v>5.4210774887919477E-3</v>
      </c>
      <c r="AD23" s="177">
        <f>IFERROR(Inv_SY_B!AD23/Inv_SY_B!$BY23-1,"")</f>
        <v>-3.4327938271908609E-3</v>
      </c>
      <c r="AE23" s="177">
        <f>IFERROR(Inv_SY_B!AE23/Inv_SY_B!$BZ23-1,"")</f>
        <v>4.1430320283657451E-3</v>
      </c>
      <c r="AF23" s="177">
        <f>IFERROR(Inv_SY_B!AF23/Inv_SY_B!$BZ23-1,"")</f>
        <v>-1.893603037576097E-2</v>
      </c>
      <c r="AG23" s="177">
        <f>IFERROR(Inv_SY_B!AG23/Inv_SY_B!$BZ23-1,"")</f>
        <v>-1.0539031717905822E-2</v>
      </c>
      <c r="AH23" s="177">
        <f>IFERROR(Inv_SY_B!AH23/Inv_SY_B!$BZ23-1,"")</f>
        <v>-2.2388787358109563E-2</v>
      </c>
      <c r="AI23" s="177">
        <f>IFERROR(Inv_SY_B!AI23/Inv_SY_B!$BZ23-1,"")</f>
        <v>9.308018298845866E-4</v>
      </c>
      <c r="AJ23" s="177">
        <f>IFERROR(Inv_SY_B!AJ23/Inv_SY_B!$BZ23-1,"")</f>
        <v>-1.3288183288722166E-2</v>
      </c>
      <c r="AK23" s="177">
        <f>IFERROR(Inv_SY_B!AK23/Inv_SY_B!$BZ23-1,"")</f>
        <v>-2.0950519220341857E-3</v>
      </c>
      <c r="AL23" s="177">
        <f>IFERROR(Inv_SY_B!AL23/Inv_SY_B!$BZ23-1,"")</f>
        <v>4.6495886492365912E-3</v>
      </c>
      <c r="AM23" s="177">
        <f>IFERROR(Inv_SY_B!AM23/Inv_SY_B!$BZ23-1,"")</f>
        <v>5.573823023761415E-3</v>
      </c>
      <c r="AN23" s="177">
        <f>IFERROR(Inv_SY_B!AN23/Inv_SY_B!$BZ23-1,"")</f>
        <v>1.2190525163615185E-2</v>
      </c>
      <c r="AO23" s="177">
        <f>IFERROR(Inv_SY_B!AO23/Inv_SY_B!$BZ23-1,"")</f>
        <v>1.0294149472442227E-2</v>
      </c>
      <c r="AP23" s="177">
        <f>IFERROR(Inv_SY_B!AP23/Inv_SY_B!$BZ23-1,"")</f>
        <v>-6.1136228120551861E-3</v>
      </c>
      <c r="AQ23" s="177">
        <f>IFERROR(Inv_SY_B!AQ23/Inv_SY_B!$BZ23-1,"")</f>
        <v>1.2180988761760769E-3</v>
      </c>
      <c r="AR23" s="177">
        <f>IFERROR(Inv_SY_B!AR23/Inv_SY_B!$BZ23-1,"")</f>
        <v>6.3847274099027018E-4</v>
      </c>
      <c r="AS23" s="177">
        <f>IFERROR(Inv_SY_B!AS23/Inv_SY_B!$BZ23-1,"")</f>
        <v>-2.5802870737752226E-3</v>
      </c>
      <c r="AT23" s="177">
        <f>IFERROR(Inv_SY_B!AT23/Inv_SY_B!$BZ23-1,"")</f>
        <v>1.3406072126790347E-2</v>
      </c>
      <c r="AU23" s="177">
        <f>IFERROR(Inv_SY_B!AU23/Inv_SY_B!$BZ23-1,"")</f>
        <v>1.5676354153981498E-2</v>
      </c>
      <c r="AV23" s="177">
        <f>IFERROR(Inv_SY_B!AV23/Inv_SY_B!$BZ23-1,"")</f>
        <v>7.220076483116733E-3</v>
      </c>
      <c r="AW23" s="177">
        <f>IFERROR(Inv_SY_B!AW23/Inv_SY_B!$CA23-1,"")</f>
        <v>9.6699306397927121E-3</v>
      </c>
      <c r="AX23" s="177">
        <f>IFERROR(Inv_SY_B!AX23/Inv_SY_B!$CA23-1,"")</f>
        <v>2.979875933836551E-2</v>
      </c>
      <c r="AY23" s="177">
        <f>IFERROR(Inv_SY_B!AY23/Inv_SY_B!$CA23-1,"")</f>
        <v>-1.5463056829155275E-2</v>
      </c>
      <c r="AZ23" s="177">
        <f>IFERROR(Inv_SY_B!AZ23/Inv_SY_B!$CA23-1,"")</f>
        <v>5.1180911548307284E-2</v>
      </c>
      <c r="BA23" s="177">
        <f>IFERROR(Inv_SY_B!BA23/Inv_SY_B!$CA23-1,"")</f>
        <v>-1.2910051764854491E-2</v>
      </c>
      <c r="BB23" s="177">
        <f>IFERROR(Inv_SY_B!BB23/Inv_SY_B!$CA23-1,"")</f>
        <v>5.9392990295441539E-3</v>
      </c>
      <c r="BC23" s="177">
        <f>IFERROR(Inv_SY_B!BC23/Inv_SY_B!$CA23-1,"")</f>
        <v>2.1389921741965523E-3</v>
      </c>
      <c r="BD23" s="177">
        <f>IFERROR(Inv_SY_B!BD23/Inv_SY_B!$CA23-1,"")</f>
        <v>1.6147743534737691E-2</v>
      </c>
      <c r="BE23" s="177">
        <f>IFERROR(Inv_SY_B!BE23/Inv_SY_B!$CA23-1,"")</f>
        <v>-5.4233996240549143E-4</v>
      </c>
      <c r="BF23" s="177">
        <f>IFERROR(Inv_SY_B!BF23/Inv_SY_B!$CA23-1,"")</f>
        <v>3.2934308442200688E-4</v>
      </c>
      <c r="BG23" s="177">
        <f>IFERROR(Inv_SY_B!BG23/Inv_SY_B!$CA23-1,"")</f>
        <v>2.2030977420899323E-2</v>
      </c>
      <c r="BH23" s="177">
        <f>IFERROR(Inv_SY_B!BH23/Inv_SY_B!$CA23-1,"")</f>
        <v>9.5126627368289363E-3</v>
      </c>
      <c r="BI23" s="177">
        <f>IFERROR(Inv_SY_B!BI23/Inv_SY_B!$CA23-1,"")</f>
        <v>2.0646474255457292E-2</v>
      </c>
      <c r="BJ23" s="177">
        <f>IFERROR(Inv_SY_B!BJ23/Inv_SY_B!$CA23-1,"")</f>
        <v>2.8340522813449232E-2</v>
      </c>
      <c r="BK23" s="177">
        <f>IFERROR(Inv_SY_B!BK23/Inv_SY_B!$CA23-1,"")</f>
        <v>3.1812737085914922E-2</v>
      </c>
      <c r="BL23" s="177">
        <f>IFERROR(Inv_SY_B!BL23/Inv_SY_B!$CA23-1,"")</f>
        <v>1.956125773603512E-2</v>
      </c>
      <c r="BM23" s="177">
        <f>IFERROR(Inv_SY_B!BM23/Inv_SY_B!$CA23-1,"")</f>
        <v>1.4247688474017473E-2</v>
      </c>
      <c r="BN23" s="177">
        <f>IFERROR(Inv_SY_B!BN23/Inv_SY_B!$CA23-1,"")</f>
        <v>1.8237213597357194E-2</v>
      </c>
      <c r="BO23" s="177">
        <f>IFERROR(Inv_SY_B!BO23/Inv_SY_B!$CA23-1,"")</f>
        <v>2.0561013815345586E-3</v>
      </c>
      <c r="BP23" s="177">
        <f>IFERROR(Inv_SY_B!BP23/Inv_SY_B!$CA23-1,"")</f>
        <v>-6.959947400930977E-3</v>
      </c>
      <c r="BQ23" s="177">
        <f>IFERROR(Inv_SY_B!BQ23/Inv_SY_B!$CA23-1,"")</f>
        <v>-3.7200627068824543E-2</v>
      </c>
      <c r="BR23" s="177">
        <f>IFERROR(Inv_SY_B!BR23/Inv_SY_B!$CA23-1,"")</f>
        <v>2.8991638790487828E-2</v>
      </c>
      <c r="BS23" s="177">
        <f>IFERROR(Inv_SY_B!BS23/Inv_SY_B!$CA23-1,"")</f>
        <v>-0.12704896735588167</v>
      </c>
      <c r="BT23" s="177">
        <f>IFERROR(Inv_SY_B!BT23/Inv_SY_B!$CA23-1,"")</f>
        <v>8.4805622761412458E-3</v>
      </c>
      <c r="BU23" s="177">
        <f>IFERROR(Inv_SY_B!BU23/Inv_SY_B!$CA23-1,"")</f>
        <v>-2.1239104501296069E-2</v>
      </c>
      <c r="BV23" s="177">
        <f>IFERROR(Inv_SY_B!BV23/Inv_SY_B!$CA23-1,"")</f>
        <v>-7.2342060376437978E-2</v>
      </c>
      <c r="BW23" s="177">
        <f>IFERROR(Inv_SY_B!BW23/Inv_SY_B!$CA23-1,"")</f>
        <v>-1.9960054467058064E-2</v>
      </c>
      <c r="BX23" s="177">
        <f>IFERROR(Inv_SY_B!BX23/Inv_SY_B!$CA23-1,"")</f>
        <v>-5.4566061906492491E-3</v>
      </c>
    </row>
    <row r="24" spans="1:76">
      <c r="A24"/>
      <c r="B24" s="173">
        <f t="shared" si="1"/>
        <v>45857</v>
      </c>
      <c r="C24" s="177">
        <f>IFERROR(Inv_SY_B!C24/Inv_SY_B!$BY24-1,"")</f>
        <v>-1.141414351482406E-3</v>
      </c>
      <c r="D24" s="177">
        <f>IFERROR(Inv_SY_B!D24/Inv_SY_B!$BY24-1,"")</f>
        <v>-8.7338804257868219E-3</v>
      </c>
      <c r="E24" s="177">
        <f>IFERROR(Inv_SY_B!E24/Inv_SY_B!$BY24-1,"")</f>
        <v>1.2374533795989073E-4</v>
      </c>
      <c r="F24" s="177">
        <f>IFERROR(Inv_SY_B!F24/Inv_SY_B!$BY24-1,"")</f>
        <v>2.2956179672941612E-3</v>
      </c>
      <c r="G24" s="177">
        <f>IFERROR(Inv_SY_B!G24/Inv_SY_B!$BY24-1,"")</f>
        <v>3.3510508728706867E-4</v>
      </c>
      <c r="H24" s="177">
        <f>IFERROR(Inv_SY_B!H24/Inv_SY_B!$BY24-1,"")</f>
        <v>-8.1210811981425879E-3</v>
      </c>
      <c r="I24" s="177">
        <f>IFERROR(Inv_SY_B!I24/Inv_SY_B!$BY24-1,"")</f>
        <v>1.3390929697159493E-2</v>
      </c>
      <c r="J24" s="177">
        <f>IFERROR(Inv_SY_B!J24/Inv_SY_B!$BY24-1,"")</f>
        <v>-7.2768610563721525E-3</v>
      </c>
      <c r="K24" s="177">
        <f>IFERROR(Inv_SY_B!K24/Inv_SY_B!$BY24-1,"")</f>
        <v>-2.7243813720122745E-2</v>
      </c>
      <c r="L24" s="177">
        <f>IFERROR(Inv_SY_B!L24/Inv_SY_B!$BY24-1,"")</f>
        <v>1.4613208261055055E-2</v>
      </c>
      <c r="M24" s="177">
        <f>IFERROR(Inv_SY_B!M24/Inv_SY_B!$BY24-1,"")</f>
        <v>3.8799972978402097E-2</v>
      </c>
      <c r="N24" s="177">
        <f>IFERROR(Inv_SY_B!N24/Inv_SY_B!$BY24-1,"")</f>
        <v>-1.1211333633887932E-2</v>
      </c>
      <c r="O24" s="177">
        <f>IFERROR(Inv_SY_B!O24/Inv_SY_B!$BY24-1,"")</f>
        <v>2.1717783609728647E-2</v>
      </c>
      <c r="P24" s="177">
        <f>IFERROR(Inv_SY_B!P24/Inv_SY_B!$BY24-1,"")</f>
        <v>-1.6482233693783099E-2</v>
      </c>
      <c r="Q24" s="177">
        <f>IFERROR(Inv_SY_B!Q24/Inv_SY_B!$BY24-1,"")</f>
        <v>6.0012583380393281E-3</v>
      </c>
      <c r="R24" s="177">
        <f>IFERROR(Inv_SY_B!R24/Inv_SY_B!$BY24-1,"")</f>
        <v>9.8348546511493051E-3</v>
      </c>
      <c r="S24" s="177">
        <f>IFERROR(Inv_SY_B!S24/Inv_SY_B!$BY24-1,"")</f>
        <v>-8.6141258135883358E-3</v>
      </c>
      <c r="T24" s="177">
        <f>IFERROR(Inv_SY_B!T24/Inv_SY_B!$BY24-1,"")</f>
        <v>-2.0919061929304039E-2</v>
      </c>
      <c r="U24" s="177">
        <f>IFERROR(Inv_SY_B!U24/Inv_SY_B!$BY24-1,"")</f>
        <v>-6.4310772463194166E-4</v>
      </c>
      <c r="V24" s="177">
        <f>IFERROR(Inv_SY_B!V24/Inv_SY_B!$BY24-1,"")</f>
        <v>-3.2871814981947356E-3</v>
      </c>
      <c r="W24" s="177">
        <f>IFERROR(Inv_SY_B!W24/Inv_SY_B!$BY24-1,"")</f>
        <v>-1.6954892455816717E-2</v>
      </c>
      <c r="X24" s="177">
        <f>IFERROR(Inv_SY_B!X24/Inv_SY_B!$BY24-1,"")</f>
        <v>1.0352346159391956E-2</v>
      </c>
      <c r="Y24" s="177">
        <f>IFERROR(Inv_SY_B!Y24/Inv_SY_B!$BY24-1,"")</f>
        <v>7.6689001167975501E-3</v>
      </c>
      <c r="Z24" s="177">
        <f>IFERROR(Inv_SY_B!Z24/Inv_SY_B!$BY24-1,"")</f>
        <v>-5.5797007691575917E-3</v>
      </c>
      <c r="AA24" s="177">
        <f>IFERROR(Inv_SY_B!AA24/Inv_SY_B!$BY24-1,"")</f>
        <v>1.0045576940222123E-2</v>
      </c>
      <c r="AB24" s="177">
        <f>IFERROR(Inv_SY_B!AB24/Inv_SY_B!$BY24-1,"")</f>
        <v>3.5045457965829918E-3</v>
      </c>
      <c r="AC24" s="177">
        <f>IFERROR(Inv_SY_B!AC24/Inv_SY_B!$BY24-1,"")</f>
        <v>1.2447380422928589E-3</v>
      </c>
      <c r="AD24" s="177">
        <f>IFERROR(Inv_SY_B!AD24/Inv_SY_B!$BY24-1,"")</f>
        <v>-3.7198947130805404E-3</v>
      </c>
      <c r="AE24" s="177">
        <f>IFERROR(Inv_SY_B!AE24/Inv_SY_B!$BZ24-1,"")</f>
        <v>2.8907946015133135E-3</v>
      </c>
      <c r="AF24" s="177">
        <f>IFERROR(Inv_SY_B!AF24/Inv_SY_B!$BZ24-1,"")</f>
        <v>-8.4506874637979568E-3</v>
      </c>
      <c r="AG24" s="177">
        <f>IFERROR(Inv_SY_B!AG24/Inv_SY_B!$BZ24-1,"")</f>
        <v>8.0136616935686522E-3</v>
      </c>
      <c r="AH24" s="177">
        <f>IFERROR(Inv_SY_B!AH24/Inv_SY_B!$BZ24-1,"")</f>
        <v>5.5996279192014331E-3</v>
      </c>
      <c r="AI24" s="177">
        <f>IFERROR(Inv_SY_B!AI24/Inv_SY_B!$BZ24-1,"")</f>
        <v>-3.4952917175412601E-4</v>
      </c>
      <c r="AJ24" s="177">
        <f>IFERROR(Inv_SY_B!AJ24/Inv_SY_B!$BZ24-1,"")</f>
        <v>-1.7075182623489837E-2</v>
      </c>
      <c r="AK24" s="177">
        <f>IFERROR(Inv_SY_B!AK24/Inv_SY_B!$BZ24-1,"")</f>
        <v>-1.3095095947722957E-2</v>
      </c>
      <c r="AL24" s="177">
        <f>IFERROR(Inv_SY_B!AL24/Inv_SY_B!$BZ24-1,"")</f>
        <v>6.1265989700376444E-4</v>
      </c>
      <c r="AM24" s="177">
        <f>IFERROR(Inv_SY_B!AM24/Inv_SY_B!$BZ24-1,"")</f>
        <v>-1.6164366353069726E-3</v>
      </c>
      <c r="AN24" s="177">
        <f>IFERROR(Inv_SY_B!AN24/Inv_SY_B!$BZ24-1,"")</f>
        <v>1.0541356938340574E-2</v>
      </c>
      <c r="AO24" s="177">
        <f>IFERROR(Inv_SY_B!AO24/Inv_SY_B!$BZ24-1,"")</f>
        <v>1.5730822182097981E-2</v>
      </c>
      <c r="AP24" s="177">
        <f>IFERROR(Inv_SY_B!AP24/Inv_SY_B!$BZ24-1,"")</f>
        <v>9.7254874025951565E-3</v>
      </c>
      <c r="AQ24" s="177">
        <f>IFERROR(Inv_SY_B!AQ24/Inv_SY_B!$BZ24-1,"")</f>
        <v>1.0900447758534382E-2</v>
      </c>
      <c r="AR24" s="177">
        <f>IFERROR(Inv_SY_B!AR24/Inv_SY_B!$BZ24-1,"")</f>
        <v>7.6195725595102903E-3</v>
      </c>
      <c r="AS24" s="177">
        <f>IFERROR(Inv_SY_B!AS24/Inv_SY_B!$BZ24-1,"")</f>
        <v>-2.212681223082269E-2</v>
      </c>
      <c r="AT24" s="177">
        <f>IFERROR(Inv_SY_B!AT24/Inv_SY_B!$BZ24-1,"")</f>
        <v>-2.2829831742795625E-2</v>
      </c>
      <c r="AU24" s="177">
        <f>IFERROR(Inv_SY_B!AU24/Inv_SY_B!$BZ24-1,"")</f>
        <v>1.7639016970844468E-2</v>
      </c>
      <c r="AV24" s="177">
        <f>IFERROR(Inv_SY_B!AV24/Inv_SY_B!$BZ24-1,"")</f>
        <v>-3.7298721075206265E-3</v>
      </c>
      <c r="AW24" s="177">
        <f>IFERROR(Inv_SY_B!AW24/Inv_SY_B!$CA24-1,"")</f>
        <v>-0.1612347280707942</v>
      </c>
      <c r="AX24" s="177">
        <f>IFERROR(Inv_SY_B!AX24/Inv_SY_B!$CA24-1,"")</f>
        <v>-0.14228151885867701</v>
      </c>
      <c r="AY24" s="177">
        <f>IFERROR(Inv_SY_B!AY24/Inv_SY_B!$CA24-1,"")</f>
        <v>-6.3383607656229413E-2</v>
      </c>
      <c r="AZ24" s="177">
        <f>IFERROR(Inv_SY_B!AZ24/Inv_SY_B!$CA24-1,"")</f>
        <v>-7.4004038101741498E-3</v>
      </c>
      <c r="BA24" s="177">
        <f>IFERROR(Inv_SY_B!BA24/Inv_SY_B!$CA24-1,"")</f>
        <v>-4.4242997479523538E-2</v>
      </c>
      <c r="BB24" s="177">
        <f>IFERROR(Inv_SY_B!BB24/Inv_SY_B!$CA24-1,"")</f>
        <v>-2.3409706242947803E-2</v>
      </c>
      <c r="BC24" s="177">
        <f>IFERROR(Inv_SY_B!BC24/Inv_SY_B!$CA24-1,"")</f>
        <v>-3.0186152811788824E-2</v>
      </c>
      <c r="BD24" s="177">
        <f>IFERROR(Inv_SY_B!BD24/Inv_SY_B!$CA24-1,"")</f>
        <v>-1.7134812942639077E-2</v>
      </c>
      <c r="BE24" s="177">
        <f>IFERROR(Inv_SY_B!BE24/Inv_SY_B!$CA24-1,"")</f>
        <v>1.5672796308940917E-4</v>
      </c>
      <c r="BF24" s="177">
        <f>IFERROR(Inv_SY_B!BF24/Inv_SY_B!$CA24-1,"")</f>
        <v>1.9522983423887252E-2</v>
      </c>
      <c r="BG24" s="177">
        <f>IFERROR(Inv_SY_B!BG24/Inv_SY_B!$CA24-1,"")</f>
        <v>2.8121042614159597E-2</v>
      </c>
      <c r="BH24" s="177">
        <f>IFERROR(Inv_SY_B!BH24/Inv_SY_B!$CA24-1,"")</f>
        <v>2.253494621310459E-2</v>
      </c>
      <c r="BI24" s="177">
        <f>IFERROR(Inv_SY_B!BI24/Inv_SY_B!$CA24-1,"")</f>
        <v>7.7855511225135565E-3</v>
      </c>
      <c r="BJ24" s="177">
        <f>IFERROR(Inv_SY_B!BJ24/Inv_SY_B!$CA24-1,"")</f>
        <v>2.2957496253095178E-2</v>
      </c>
      <c r="BK24" s="177">
        <f>IFERROR(Inv_SY_B!BK24/Inv_SY_B!$CA24-1,"")</f>
        <v>7.6872784461983201E-3</v>
      </c>
      <c r="BL24" s="177">
        <f>IFERROR(Inv_SY_B!BL24/Inv_SY_B!$CA24-1,"")</f>
        <v>4.7292242502396942E-3</v>
      </c>
      <c r="BM24" s="177">
        <f>IFERROR(Inv_SY_B!BM24/Inv_SY_B!$CA24-1,"")</f>
        <v>2.6958158358909357E-2</v>
      </c>
      <c r="BN24" s="177">
        <f>IFERROR(Inv_SY_B!BN24/Inv_SY_B!$CA24-1,"")</f>
        <v>1.3793003078212296E-2</v>
      </c>
      <c r="BO24" s="177">
        <f>IFERROR(Inv_SY_B!BO24/Inv_SY_B!$CA24-1,"")</f>
        <v>-2.5716783004181565E-2</v>
      </c>
      <c r="BP24" s="177">
        <f>IFERROR(Inv_SY_B!BP24/Inv_SY_B!$CA24-1,"")</f>
        <v>1.157953296721459E-2</v>
      </c>
      <c r="BQ24" s="177">
        <f>IFERROR(Inv_SY_B!BQ24/Inv_SY_B!$CA24-1,"")</f>
        <v>1.4375679874117031E-2</v>
      </c>
      <c r="BR24" s="177">
        <f>IFERROR(Inv_SY_B!BR24/Inv_SY_B!$CA24-1,"")</f>
        <v>9.0366790418496823E-2</v>
      </c>
      <c r="BS24" s="177">
        <f>IFERROR(Inv_SY_B!BS24/Inv_SY_B!$CA24-1,"")</f>
        <v>-8.3625305939044603E-3</v>
      </c>
      <c r="BT24" s="177">
        <f>IFERROR(Inv_SY_B!BT24/Inv_SY_B!$CA24-1,"")</f>
        <v>6.103210807652637E-2</v>
      </c>
      <c r="BU24" s="177">
        <f>IFERROR(Inv_SY_B!BU24/Inv_SY_B!$CA24-1,"")</f>
        <v>5.1582556888754238E-2</v>
      </c>
      <c r="BV24" s="177">
        <f>IFERROR(Inv_SY_B!BV24/Inv_SY_B!$CA24-1,"")</f>
        <v>9.2822709791555491E-2</v>
      </c>
      <c r="BW24" s="177">
        <f>IFERROR(Inv_SY_B!BW24/Inv_SY_B!$CA24-1,"")</f>
        <v>3.9162893166911461E-2</v>
      </c>
      <c r="BX24" s="177">
        <f>IFERROR(Inv_SY_B!BX24/Inv_SY_B!$CA24-1,"")</f>
        <v>8.1845585638682383E-3</v>
      </c>
    </row>
    <row r="25" spans="1:76">
      <c r="A25"/>
      <c r="B25" s="173">
        <f t="shared" si="1"/>
        <v>45858</v>
      </c>
      <c r="C25" s="177">
        <f>IFERROR(Inv_SY_B!C25/Inv_SY_B!$BY25-1,"")</f>
        <v>5.3985381151613332E-3</v>
      </c>
      <c r="D25" s="177">
        <f>IFERROR(Inv_SY_B!D25/Inv_SY_B!$BY25-1,"")</f>
        <v>9.080304182200738E-4</v>
      </c>
      <c r="E25" s="177">
        <f>IFERROR(Inv_SY_B!E25/Inv_SY_B!$BY25-1,"")</f>
        <v>-1.8681812604152137E-3</v>
      </c>
      <c r="F25" s="177">
        <f>IFERROR(Inv_SY_B!F25/Inv_SY_B!$BY25-1,"")</f>
        <v>-1.3532737968527275E-2</v>
      </c>
      <c r="G25" s="177">
        <f>IFERROR(Inv_SY_B!G25/Inv_SY_B!$BY25-1,"")</f>
        <v>-2.2055703910246804E-2</v>
      </c>
      <c r="H25" s="177">
        <f>IFERROR(Inv_SY_B!H25/Inv_SY_B!$BY25-1,"")</f>
        <v>-2.2933477341150921E-2</v>
      </c>
      <c r="I25" s="177">
        <f>IFERROR(Inv_SY_B!I25/Inv_SY_B!$BY25-1,"")</f>
        <v>6.4711977906208862E-3</v>
      </c>
      <c r="J25" s="177">
        <f>IFERROR(Inv_SY_B!J25/Inv_SY_B!$BY25-1,"")</f>
        <v>-9.7171065351905339E-3</v>
      </c>
      <c r="K25" s="177">
        <f>IFERROR(Inv_SY_B!K25/Inv_SY_B!$BY25-1,"")</f>
        <v>-2.2966108468534641E-2</v>
      </c>
      <c r="L25" s="177">
        <f>IFERROR(Inv_SY_B!L25/Inv_SY_B!$BY25-1,"")</f>
        <v>1.2485352292737062E-2</v>
      </c>
      <c r="M25" s="177">
        <f>IFERROR(Inv_SY_B!M25/Inv_SY_B!$BY25-1,"")</f>
        <v>4.0920839183213431E-2</v>
      </c>
      <c r="N25" s="177">
        <f>IFERROR(Inv_SY_B!N25/Inv_SY_B!$BY25-1,"")</f>
        <v>-3.9715217354080457E-3</v>
      </c>
      <c r="O25" s="177">
        <f>IFERROR(Inv_SY_B!O25/Inv_SY_B!$BY25-1,"")</f>
        <v>2.6806982433703608E-2</v>
      </c>
      <c r="P25" s="177">
        <f>IFERROR(Inv_SY_B!P25/Inv_SY_B!$BY25-1,"")</f>
        <v>-6.5584686066008091E-3</v>
      </c>
      <c r="Q25" s="177">
        <f>IFERROR(Inv_SY_B!Q25/Inv_SY_B!$BY25-1,"")</f>
        <v>5.732972194975039E-3</v>
      </c>
      <c r="R25" s="177">
        <f>IFERROR(Inv_SY_B!R25/Inv_SY_B!$BY25-1,"")</f>
        <v>1.6699797509488468E-2</v>
      </c>
      <c r="S25" s="177">
        <f>IFERROR(Inv_SY_B!S25/Inv_SY_B!$BY25-1,"")</f>
        <v>-9.0981791898737674E-3</v>
      </c>
      <c r="T25" s="177">
        <f>IFERROR(Inv_SY_B!T25/Inv_SY_B!$BY25-1,"")</f>
        <v>-3.4229165097918623E-2</v>
      </c>
      <c r="U25" s="177">
        <f>IFERROR(Inv_SY_B!U25/Inv_SY_B!$BY25-1,"")</f>
        <v>2.9228046405829211E-3</v>
      </c>
      <c r="V25" s="177">
        <f>IFERROR(Inv_SY_B!V25/Inv_SY_B!$BY25-1,"")</f>
        <v>6.6761092922007492E-4</v>
      </c>
      <c r="W25" s="177">
        <f>IFERROR(Inv_SY_B!W25/Inv_SY_B!$BY25-1,"")</f>
        <v>-1.4684129561063575E-2</v>
      </c>
      <c r="X25" s="177">
        <f>IFERROR(Inv_SY_B!X25/Inv_SY_B!$BY25-1,"")</f>
        <v>3.4504098620238288E-3</v>
      </c>
      <c r="Y25" s="177">
        <f>IFERROR(Inv_SY_B!Y25/Inv_SY_B!$BY25-1,"")</f>
        <v>1.2329797378918261E-2</v>
      </c>
      <c r="Z25" s="177">
        <f>IFERROR(Inv_SY_B!Z25/Inv_SY_B!$BY25-1,"")</f>
        <v>-8.7221998771014331E-4</v>
      </c>
      <c r="AA25" s="177">
        <f>IFERROR(Inv_SY_B!AA25/Inv_SY_B!$BY25-1,"")</f>
        <v>1.4945872819642547E-2</v>
      </c>
      <c r="AB25" s="177">
        <f>IFERROR(Inv_SY_B!AB25/Inv_SY_B!$BY25-1,"")</f>
        <v>6.0302177649613764E-3</v>
      </c>
      <c r="AC25" s="177">
        <f>IFERROR(Inv_SY_B!AC25/Inv_SY_B!$BY25-1,"")</f>
        <v>6.8174676138323953E-3</v>
      </c>
      <c r="AD25" s="177">
        <f>IFERROR(Inv_SY_B!AD25/Inv_SY_B!$BY25-1,"")</f>
        <v>-1.0089128466428399E-4</v>
      </c>
      <c r="AE25" s="177">
        <f>IFERROR(Inv_SY_B!AE25/Inv_SY_B!$BZ25-1,"")</f>
        <v>-7.2818602224784534E-3</v>
      </c>
      <c r="AF25" s="177">
        <f>IFERROR(Inv_SY_B!AF25/Inv_SY_B!$BZ25-1,"")</f>
        <v>-2.6772646030260749E-2</v>
      </c>
      <c r="AG25" s="177">
        <f>IFERROR(Inv_SY_B!AG25/Inv_SY_B!$BZ25-1,"")</f>
        <v>-9.2159857109321841E-3</v>
      </c>
      <c r="AH25" s="177">
        <f>IFERROR(Inv_SY_B!AH25/Inv_SY_B!$BZ25-1,"")</f>
        <v>-2.1266458800638044E-2</v>
      </c>
      <c r="AI25" s="177">
        <f>IFERROR(Inv_SY_B!AI25/Inv_SY_B!$BZ25-1,"")</f>
        <v>-1.6340355044939248E-3</v>
      </c>
      <c r="AJ25" s="177">
        <f>IFERROR(Inv_SY_B!AJ25/Inv_SY_B!$BZ25-1,"")</f>
        <v>-1.9338841467653967E-2</v>
      </c>
      <c r="AK25" s="177">
        <f>IFERROR(Inv_SY_B!AK25/Inv_SY_B!$BZ25-1,"")</f>
        <v>-7.4595686613516676E-3</v>
      </c>
      <c r="AL25" s="177">
        <f>IFERROR(Inv_SY_B!AL25/Inv_SY_B!$BZ25-1,"")</f>
        <v>-2.6317590880173825E-3</v>
      </c>
      <c r="AM25" s="177">
        <f>IFERROR(Inv_SY_B!AM25/Inv_SY_B!$BZ25-1,"")</f>
        <v>6.7489405768672572E-3</v>
      </c>
      <c r="AN25" s="177">
        <f>IFERROR(Inv_SY_B!AN25/Inv_SY_B!$BZ25-1,"")</f>
        <v>1.6505719978903377E-2</v>
      </c>
      <c r="AO25" s="177">
        <f>IFERROR(Inv_SY_B!AO25/Inv_SY_B!$BZ25-1,"")</f>
        <v>1.5522379646499385E-2</v>
      </c>
      <c r="AP25" s="177">
        <f>IFERROR(Inv_SY_B!AP25/Inv_SY_B!$BZ25-1,"")</f>
        <v>1.2447888461373235E-3</v>
      </c>
      <c r="AQ25" s="177">
        <f>IFERROR(Inv_SY_B!AQ25/Inv_SY_B!$BZ25-1,"")</f>
        <v>6.5066929751016467E-3</v>
      </c>
      <c r="AR25" s="177">
        <f>IFERROR(Inv_SY_B!AR25/Inv_SY_B!$BZ25-1,"")</f>
        <v>6.007839380347324E-3</v>
      </c>
      <c r="AS25" s="177">
        <f>IFERROR(Inv_SY_B!AS25/Inv_SY_B!$BZ25-1,"")</f>
        <v>-5.5276306899358918E-3</v>
      </c>
      <c r="AT25" s="177">
        <f>IFERROR(Inv_SY_B!AT25/Inv_SY_B!$BZ25-1,"")</f>
        <v>1.7585594858902098E-3</v>
      </c>
      <c r="AU25" s="177">
        <f>IFERROR(Inv_SY_B!AU25/Inv_SY_B!$BZ25-1,"")</f>
        <v>3.0077878616581621E-2</v>
      </c>
      <c r="AV25" s="177">
        <f>IFERROR(Inv_SY_B!AV25/Inv_SY_B!$BZ25-1,"")</f>
        <v>1.6755986669434009E-2</v>
      </c>
      <c r="AW25" s="177">
        <f>IFERROR(Inv_SY_B!AW25/Inv_SY_B!$CA25-1,"")</f>
        <v>-0.15929528379388447</v>
      </c>
      <c r="AX25" s="177">
        <f>IFERROR(Inv_SY_B!AX25/Inv_SY_B!$CA25-1,"")</f>
        <v>-0.13076477517889618</v>
      </c>
      <c r="AY25" s="177">
        <f>IFERROR(Inv_SY_B!AY25/Inv_SY_B!$CA25-1,"")</f>
        <v>-5.0975010430877599E-2</v>
      </c>
      <c r="AZ25" s="177">
        <f>IFERROR(Inv_SY_B!AZ25/Inv_SY_B!$CA25-1,"")</f>
        <v>-8.6241486843807724E-3</v>
      </c>
      <c r="BA25" s="177">
        <f>IFERROR(Inv_SY_B!BA25/Inv_SY_B!$CA25-1,"")</f>
        <v>-4.0338037588110165E-2</v>
      </c>
      <c r="BB25" s="177">
        <f>IFERROR(Inv_SY_B!BB25/Inv_SY_B!$CA25-1,"")</f>
        <v>-1.2473356598736052E-2</v>
      </c>
      <c r="BC25" s="177">
        <f>IFERROR(Inv_SY_B!BC25/Inv_SY_B!$CA25-1,"")</f>
        <v>-2.8293107618953428E-2</v>
      </c>
      <c r="BD25" s="177">
        <f>IFERROR(Inv_SY_B!BD25/Inv_SY_B!$CA25-1,"")</f>
        <v>-1.2237999388008847E-2</v>
      </c>
      <c r="BE25" s="177">
        <f>IFERROR(Inv_SY_B!BE25/Inv_SY_B!$CA25-1,"")</f>
        <v>1.2305008205787837E-2</v>
      </c>
      <c r="BF25" s="177">
        <f>IFERROR(Inv_SY_B!BF25/Inv_SY_B!$CA25-1,"")</f>
        <v>0.18135443682250396</v>
      </c>
      <c r="BG25" s="177">
        <f>IFERROR(Inv_SY_B!BG25/Inv_SY_B!$CA25-1,"")</f>
        <v>4.1661578491961837E-2</v>
      </c>
      <c r="BH25" s="177">
        <f>IFERROR(Inv_SY_B!BH25/Inv_SY_B!$CA25-1,"")</f>
        <v>3.1609517454018299E-2</v>
      </c>
      <c r="BI25" s="177">
        <f>IFERROR(Inv_SY_B!BI25/Inv_SY_B!$CA25-1,"")</f>
        <v>2.9177774716252491E-2</v>
      </c>
      <c r="BJ25" s="177">
        <f>IFERROR(Inv_SY_B!BJ25/Inv_SY_B!$CA25-1,"")</f>
        <v>4.4959156248096876E-2</v>
      </c>
      <c r="BK25" s="177">
        <f>IFERROR(Inv_SY_B!BK25/Inv_SY_B!$CA25-1,"")</f>
        <v>3.1997681282818213E-2</v>
      </c>
      <c r="BL25" s="177">
        <f>IFERROR(Inv_SY_B!BL25/Inv_SY_B!$CA25-1,"")</f>
        <v>2.4354068722468147E-2</v>
      </c>
      <c r="BM25" s="177">
        <f>IFERROR(Inv_SY_B!BM25/Inv_SY_B!$CA25-1,"")</f>
        <v>1.9072789985850491E-2</v>
      </c>
      <c r="BN25" s="177">
        <f>IFERROR(Inv_SY_B!BN25/Inv_SY_B!$CA25-1,"")</f>
        <v>8.5619913486536525E-3</v>
      </c>
      <c r="BO25" s="177">
        <f>IFERROR(Inv_SY_B!BO25/Inv_SY_B!$CA25-1,"")</f>
        <v>-5.4087653581463169E-2</v>
      </c>
      <c r="BP25" s="177">
        <f>IFERROR(Inv_SY_B!BP25/Inv_SY_B!$CA25-1,"")</f>
        <v>-2.968222019091693E-2</v>
      </c>
      <c r="BQ25" s="177">
        <f>IFERROR(Inv_SY_B!BQ25/Inv_SY_B!$CA25-1,"")</f>
        <v>-0.12209262686045941</v>
      </c>
      <c r="BR25" s="177">
        <f>IFERROR(Inv_SY_B!BR25/Inv_SY_B!$CA25-1,"")</f>
        <v>3.2933897752067676E-2</v>
      </c>
      <c r="BS25" s="177">
        <f>IFERROR(Inv_SY_B!BS25/Inv_SY_B!$CA25-1,"")</f>
        <v>-1.6966401786812302E-2</v>
      </c>
      <c r="BT25" s="177">
        <f>IFERROR(Inv_SY_B!BT25/Inv_SY_B!$CA25-1,"")</f>
        <v>5.9938469200357725E-2</v>
      </c>
      <c r="BU25" s="177">
        <f>IFERROR(Inv_SY_B!BU25/Inv_SY_B!$CA25-1,"")</f>
        <v>3.0942467140252949E-2</v>
      </c>
      <c r="BV25" s="177">
        <f>IFERROR(Inv_SY_B!BV25/Inv_SY_B!$CA25-1,"")</f>
        <v>8.2163639097316388E-2</v>
      </c>
      <c r="BW25" s="177">
        <f>IFERROR(Inv_SY_B!BW25/Inv_SY_B!$CA25-1,"")</f>
        <v>2.4040199951515184E-2</v>
      </c>
      <c r="BX25" s="177">
        <f>IFERROR(Inv_SY_B!BX25/Inv_SY_B!$CA25-1,"")</f>
        <v>1.0757945281583359E-2</v>
      </c>
    </row>
    <row r="26" spans="1:76">
      <c r="A26"/>
      <c r="B26" s="173">
        <f t="shared" si="1"/>
        <v>45859</v>
      </c>
      <c r="C26" s="177">
        <f>IFERROR(Inv_SY_B!C26/Inv_SY_B!$BY26-1,"")</f>
        <v>2.5572246817195499E-2</v>
      </c>
      <c r="D26" s="177">
        <f>IFERROR(Inv_SY_B!D26/Inv_SY_B!$BY26-1,"")</f>
        <v>1.7894832411862627E-2</v>
      </c>
      <c r="E26" s="177">
        <f>IFERROR(Inv_SY_B!E26/Inv_SY_B!$BY26-1,"")</f>
        <v>2.9429144825017683E-2</v>
      </c>
      <c r="F26" s="177">
        <f>IFERROR(Inv_SY_B!F26/Inv_SY_B!$BY26-1,"")</f>
        <v>3.1053801960835292E-2</v>
      </c>
      <c r="G26" s="177">
        <f>IFERROR(Inv_SY_B!G26/Inv_SY_B!$BY26-1,"")</f>
        <v>2.397000588245346E-2</v>
      </c>
      <c r="H26" s="177">
        <f>IFERROR(Inv_SY_B!H26/Inv_SY_B!$BY26-1,"")</f>
        <v>1.8358952809403473E-2</v>
      </c>
      <c r="I26" s="177">
        <f>IFERROR(Inv_SY_B!I26/Inv_SY_B!$BY26-1,"")</f>
        <v>4.4485499450294785E-2</v>
      </c>
      <c r="J26" s="177">
        <f>IFERROR(Inv_SY_B!J26/Inv_SY_B!$BY26-1,"")</f>
        <v>3.4504964739898725E-3</v>
      </c>
      <c r="K26" s="177">
        <f>IFERROR(Inv_SY_B!K26/Inv_SY_B!$BY26-1,"")</f>
        <v>2.2163790800260319E-3</v>
      </c>
      <c r="L26" s="177">
        <f>IFERROR(Inv_SY_B!L26/Inv_SY_B!$BY26-1,"")</f>
        <v>3.8036798022817342E-2</v>
      </c>
      <c r="M26" s="177">
        <f>IFERROR(Inv_SY_B!M26/Inv_SY_B!$BY26-1,"")</f>
        <v>5.0594157647257498E-2</v>
      </c>
      <c r="N26" s="177">
        <f>IFERROR(Inv_SY_B!N26/Inv_SY_B!$BY26-1,"")</f>
        <v>-8.7549156050964472E-3</v>
      </c>
      <c r="O26" s="177">
        <f>IFERROR(Inv_SY_B!O26/Inv_SY_B!$BY26-1,"")</f>
        <v>4.4873658195689892E-2</v>
      </c>
      <c r="P26" s="177">
        <f>IFERROR(Inv_SY_B!P26/Inv_SY_B!$BY26-1,"")</f>
        <v>-2.2093382480237178E-3</v>
      </c>
      <c r="Q26" s="177">
        <f>IFERROR(Inv_SY_B!Q26/Inv_SY_B!$BY26-1,"")</f>
        <v>3.006046318943989E-2</v>
      </c>
      <c r="R26" s="177">
        <f>IFERROR(Inv_SY_B!R26/Inv_SY_B!$BY26-1,"")</f>
        <v>3.3506210613212906E-2</v>
      </c>
      <c r="S26" s="177">
        <f>IFERROR(Inv_SY_B!S26/Inv_SY_B!$BY26-1,"")</f>
        <v>-1.7707241743081026E-2</v>
      </c>
      <c r="T26" s="177">
        <f>IFERROR(Inv_SY_B!T26/Inv_SY_B!$BY26-1,"")</f>
        <v>-4.477411536177156E-2</v>
      </c>
      <c r="U26" s="177">
        <f>IFERROR(Inv_SY_B!U26/Inv_SY_B!$BY26-1,"")</f>
        <v>1.7802255034801817E-2</v>
      </c>
      <c r="V26" s="177">
        <f>IFERROR(Inv_SY_B!V26/Inv_SY_B!$BY26-1,"")</f>
        <v>1.2083243736941807E-2</v>
      </c>
      <c r="W26" s="177">
        <f>IFERROR(Inv_SY_B!W26/Inv_SY_B!$BY26-1,"")</f>
        <v>-7.8448937807138686E-2</v>
      </c>
      <c r="X26" s="177">
        <f>IFERROR(Inv_SY_B!X26/Inv_SY_B!$BY26-1,"")</f>
        <v>-3.8798789896626218E-2</v>
      </c>
      <c r="Y26" s="177">
        <f>IFERROR(Inv_SY_B!Y26/Inv_SY_B!$BY26-1,"")</f>
        <v>-3.4717771226587812E-2</v>
      </c>
      <c r="Z26" s="177">
        <f>IFERROR(Inv_SY_B!Z26/Inv_SY_B!$BY26-1,"")</f>
        <v>-2.7855658049570353E-2</v>
      </c>
      <c r="AA26" s="177">
        <f>IFERROR(Inv_SY_B!AA26/Inv_SY_B!$BY26-1,"")</f>
        <v>-4.744015566165849E-2</v>
      </c>
      <c r="AB26" s="177">
        <f>IFERROR(Inv_SY_B!AB26/Inv_SY_B!$BY26-1,"")</f>
        <v>-5.314956211724664E-2</v>
      </c>
      <c r="AC26" s="177">
        <f>IFERROR(Inv_SY_B!AC26/Inv_SY_B!$BY26-1,"")</f>
        <v>-3.8999390391912692E-2</v>
      </c>
      <c r="AD26" s="177">
        <f>IFERROR(Inv_SY_B!AD26/Inv_SY_B!$BY26-1,"")</f>
        <v>-3.0532270042525123E-2</v>
      </c>
      <c r="AE26" s="177">
        <f>IFERROR(Inv_SY_B!AE26/Inv_SY_B!$BZ26-1,"")</f>
        <v>-8.8979314079895566E-3</v>
      </c>
      <c r="AF26" s="177">
        <f>IFERROR(Inv_SY_B!AF26/Inv_SY_B!$BZ26-1,"")</f>
        <v>-1.95569902074757E-2</v>
      </c>
      <c r="AG26" s="177">
        <f>IFERROR(Inv_SY_B!AG26/Inv_SY_B!$BZ26-1,"")</f>
        <v>-1.8660331699034138E-3</v>
      </c>
      <c r="AH26" s="177">
        <f>IFERROR(Inv_SY_B!AH26/Inv_SY_B!$BZ26-1,"")</f>
        <v>-1.0037431627393789E-2</v>
      </c>
      <c r="AI26" s="177">
        <f>IFERROR(Inv_SY_B!AI26/Inv_SY_B!$BZ26-1,"")</f>
        <v>7.9397376778240769E-3</v>
      </c>
      <c r="AJ26" s="177">
        <f>IFERROR(Inv_SY_B!AJ26/Inv_SY_B!$BZ26-1,"")</f>
        <v>-5.1810108771741525E-3</v>
      </c>
      <c r="AK26" s="177">
        <f>IFERROR(Inv_SY_B!AK26/Inv_SY_B!$BZ26-1,"")</f>
        <v>4.5206572529397082E-3</v>
      </c>
      <c r="AL26" s="177">
        <f>IFERROR(Inv_SY_B!AL26/Inv_SY_B!$BZ26-1,"")</f>
        <v>9.8012559159201817E-3</v>
      </c>
      <c r="AM26" s="177">
        <f>IFERROR(Inv_SY_B!AM26/Inv_SY_B!$BZ26-1,"")</f>
        <v>3.0606604271774529E-3</v>
      </c>
      <c r="AN26" s="177">
        <f>IFERROR(Inv_SY_B!AN26/Inv_SY_B!$BZ26-1,"")</f>
        <v>8.8025044717827683E-3</v>
      </c>
      <c r="AO26" s="177">
        <f>IFERROR(Inv_SY_B!AO26/Inv_SY_B!$BZ26-1,"")</f>
        <v>1.013923006946893E-2</v>
      </c>
      <c r="AP26" s="177">
        <f>IFERROR(Inv_SY_B!AP26/Inv_SY_B!$BZ26-1,"")</f>
        <v>-6.6457902196553897E-3</v>
      </c>
      <c r="AQ26" s="177">
        <f>IFERROR(Inv_SY_B!AQ26/Inv_SY_B!$BZ26-1,"")</f>
        <v>-7.27750133774685E-4</v>
      </c>
      <c r="AR26" s="177">
        <f>IFERROR(Inv_SY_B!AR26/Inv_SY_B!$BZ26-1,"")</f>
        <v>-2.8234905291432133E-3</v>
      </c>
      <c r="AS26" s="177">
        <f>IFERROR(Inv_SY_B!AS26/Inv_SY_B!$BZ26-1,"")</f>
        <v>-5.6552855532893131E-3</v>
      </c>
      <c r="AT26" s="177">
        <f>IFERROR(Inv_SY_B!AT26/Inv_SY_B!$BZ26-1,"")</f>
        <v>-1.3068314664076541E-2</v>
      </c>
      <c r="AU26" s="177">
        <f>IFERROR(Inv_SY_B!AU26/Inv_SY_B!$BZ26-1,"")</f>
        <v>2.3007025606158304E-2</v>
      </c>
      <c r="AV26" s="177">
        <f>IFERROR(Inv_SY_B!AV26/Inv_SY_B!$BZ26-1,"")</f>
        <v>7.1889569686058863E-3</v>
      </c>
      <c r="AW26" s="177">
        <f>IFERROR(Inv_SY_B!AW26/Inv_SY_B!$CA26-1,"")</f>
        <v>-0.12993659590623752</v>
      </c>
      <c r="AX26" s="177">
        <f>IFERROR(Inv_SY_B!AX26/Inv_SY_B!$CA26-1,"")</f>
        <v>-0.10463649243532558</v>
      </c>
      <c r="AY26" s="177">
        <f>IFERROR(Inv_SY_B!AY26/Inv_SY_B!$CA26-1,"")</f>
        <v>-2.7683063937382624E-3</v>
      </c>
      <c r="AZ26" s="177">
        <f>IFERROR(Inv_SY_B!AZ26/Inv_SY_B!$CA26-1,"")</f>
        <v>6.1433646903046979E-2</v>
      </c>
      <c r="BA26" s="177">
        <f>IFERROR(Inv_SY_B!BA26/Inv_SY_B!$CA26-1,"")</f>
        <v>-1.4134127031285804E-2</v>
      </c>
      <c r="BB26" s="177">
        <f>IFERROR(Inv_SY_B!BB26/Inv_SY_B!$CA26-1,"")</f>
        <v>7.2127054319333084E-3</v>
      </c>
      <c r="BC26" s="177">
        <f>IFERROR(Inv_SY_B!BC26/Inv_SY_B!$CA26-1,"")</f>
        <v>1.1505829931102829E-2</v>
      </c>
      <c r="BD26" s="177">
        <f>IFERROR(Inv_SY_B!BD26/Inv_SY_B!$CA26-1,"")</f>
        <v>2.7027773340931427E-2</v>
      </c>
      <c r="BE26" s="177">
        <f>IFERROR(Inv_SY_B!BE26/Inv_SY_B!$CA26-1,"")</f>
        <v>1.4838844156754183E-2</v>
      </c>
      <c r="BF26" s="177">
        <f>IFERROR(Inv_SY_B!BF26/Inv_SY_B!$CA26-1,"")</f>
        <v>2.3132902910573794E-2</v>
      </c>
      <c r="BG26" s="177">
        <f>IFERROR(Inv_SY_B!BG26/Inv_SY_B!$CA26-1,"")</f>
        <v>4.093531821744234E-2</v>
      </c>
      <c r="BH26" s="177">
        <f>IFERROR(Inv_SY_B!BH26/Inv_SY_B!$CA26-1,"")</f>
        <v>3.0889027278100167E-2</v>
      </c>
      <c r="BI26" s="177">
        <f>IFERROR(Inv_SY_B!BI26/Inv_SY_B!$CA26-1,"")</f>
        <v>2.5152620017911742E-2</v>
      </c>
      <c r="BJ26" s="177">
        <f>IFERROR(Inv_SY_B!BJ26/Inv_SY_B!$CA26-1,"")</f>
        <v>4.3131560563443028E-2</v>
      </c>
      <c r="BK26" s="177">
        <f>IFERROR(Inv_SY_B!BK26/Inv_SY_B!$CA26-1,"")</f>
        <v>2.2725106862876654E-2</v>
      </c>
      <c r="BL26" s="177">
        <f>IFERROR(Inv_SY_B!BL26/Inv_SY_B!$CA26-1,"")</f>
        <v>1.4935304087905887E-2</v>
      </c>
      <c r="BM26" s="177">
        <f>IFERROR(Inv_SY_B!BM26/Inv_SY_B!$CA26-1,"")</f>
        <v>1.378096718934585E-2</v>
      </c>
      <c r="BN26" s="177">
        <f>IFERROR(Inv_SY_B!BN26/Inv_SY_B!$CA26-1,"")</f>
        <v>8.7284337686508451E-3</v>
      </c>
      <c r="BO26" s="177">
        <f>IFERROR(Inv_SY_B!BO26/Inv_SY_B!$CA26-1,"")</f>
        <v>-1.2038279247428507E-2</v>
      </c>
      <c r="BP26" s="177">
        <f>IFERROR(Inv_SY_B!BP26/Inv_SY_B!$CA26-1,"")</f>
        <v>8.1210967909435272E-3</v>
      </c>
      <c r="BQ26" s="177">
        <f>IFERROR(Inv_SY_B!BQ26/Inv_SY_B!$CA26-1,"")</f>
        <v>-3.9184240504797851E-2</v>
      </c>
      <c r="BR26" s="177">
        <f>IFERROR(Inv_SY_B!BR26/Inv_SY_B!$CA26-1,"")</f>
        <v>3.5606344296425174E-2</v>
      </c>
      <c r="BS26" s="177">
        <f>IFERROR(Inv_SY_B!BS26/Inv_SY_B!$CA26-1,"")</f>
        <v>-4.888379901949369E-2</v>
      </c>
      <c r="BT26" s="177">
        <f>IFERROR(Inv_SY_B!BT26/Inv_SY_B!$CA26-1,"")</f>
        <v>7.8166697667609863E-3</v>
      </c>
      <c r="BU26" s="177">
        <f>IFERROR(Inv_SY_B!BU26/Inv_SY_B!$CA26-1,"")</f>
        <v>-2.206293047152863E-2</v>
      </c>
      <c r="BV26" s="177">
        <f>IFERROR(Inv_SY_B!BV26/Inv_SY_B!$CA26-1,"")</f>
        <v>-4.286227751745586E-3</v>
      </c>
      <c r="BW26" s="177">
        <f>IFERROR(Inv_SY_B!BW26/Inv_SY_B!$CA26-1,"")</f>
        <v>-7.8970841789575141E-3</v>
      </c>
      <c r="BX26" s="177">
        <f>IFERROR(Inv_SY_B!BX26/Inv_SY_B!$CA26-1,"")</f>
        <v>-1.1146068573607781E-2</v>
      </c>
    </row>
    <row r="27" spans="1:76" ht="15.75" customHeight="1">
      <c r="A27"/>
      <c r="B27" s="173">
        <f t="shared" si="1"/>
        <v>45860</v>
      </c>
      <c r="C27" s="177">
        <f>IFERROR(Inv_SY_B!C27/Inv_SY_B!$BY27-1,"")</f>
        <v>1.776498141491234E-2</v>
      </c>
      <c r="D27" s="177">
        <f>IFERROR(Inv_SY_B!D27/Inv_SY_B!$BY27-1,"")</f>
        <v>1.8543535617562945E-2</v>
      </c>
      <c r="E27" s="177">
        <f>IFERROR(Inv_SY_B!E27/Inv_SY_B!$BY27-1,"")</f>
        <v>1.3625792408811455E-2</v>
      </c>
      <c r="F27" s="177">
        <f>IFERROR(Inv_SY_B!F27/Inv_SY_B!$BY27-1,"")</f>
        <v>-4.7789698753120113E-3</v>
      </c>
      <c r="G27" s="177">
        <f>IFERROR(Inv_SY_B!G27/Inv_SY_B!$BY27-1,"")</f>
        <v>-2.1726127231285197E-3</v>
      </c>
      <c r="H27" s="177">
        <f>IFERROR(Inv_SY_B!H27/Inv_SY_B!$BY27-1,"")</f>
        <v>-4.9948142523493777E-3</v>
      </c>
      <c r="I27" s="177">
        <f>IFERROR(Inv_SY_B!I27/Inv_SY_B!$BY27-1,"")</f>
        <v>1.5097851925937045E-2</v>
      </c>
      <c r="J27" s="177">
        <f>IFERROR(Inv_SY_B!J27/Inv_SY_B!$BY27-1,"")</f>
        <v>8.3748182055873865E-3</v>
      </c>
      <c r="K27" s="177">
        <f>IFERROR(Inv_SY_B!K27/Inv_SY_B!$BY27-1,"")</f>
        <v>-1.4186074014876038E-2</v>
      </c>
      <c r="L27" s="177">
        <f>IFERROR(Inv_SY_B!L27/Inv_SY_B!$BY27-1,"")</f>
        <v>1.116272354632053E-2</v>
      </c>
      <c r="M27" s="177">
        <f>IFERROR(Inv_SY_B!M27/Inv_SY_B!$BY27-1,"")</f>
        <v>4.2509252979007206E-2</v>
      </c>
      <c r="N27" s="177">
        <f>IFERROR(Inv_SY_B!N27/Inv_SY_B!$BY27-1,"")</f>
        <v>-3.7214977528040594E-3</v>
      </c>
      <c r="O27" s="177">
        <f>IFERROR(Inv_SY_B!O27/Inv_SY_B!$BY27-1,"")</f>
        <v>4.182459958116902E-2</v>
      </c>
      <c r="P27" s="177">
        <f>IFERROR(Inv_SY_B!P27/Inv_SY_B!$BY27-1,"")</f>
        <v>2.7160435944679318E-2</v>
      </c>
      <c r="Q27" s="177">
        <f>IFERROR(Inv_SY_B!Q27/Inv_SY_B!$BY27-1,"")</f>
        <v>1.8986228482492651E-2</v>
      </c>
      <c r="R27" s="177">
        <f>IFERROR(Inv_SY_B!R27/Inv_SY_B!$BY27-1,"")</f>
        <v>1.8897585740714984E-2</v>
      </c>
      <c r="S27" s="177">
        <f>IFERROR(Inv_SY_B!S27/Inv_SY_B!$BY27-1,"")</f>
        <v>-2.151774844408727E-2</v>
      </c>
      <c r="T27" s="177">
        <f>IFERROR(Inv_SY_B!T27/Inv_SY_B!$BY27-1,"")</f>
        <v>-0.66923027014430747</v>
      </c>
      <c r="U27" s="177">
        <f>IFERROR(Inv_SY_B!U27/Inv_SY_B!$BY27-1,"")</f>
        <v>1.0364184316821179E-2</v>
      </c>
      <c r="V27" s="177">
        <f>IFERROR(Inv_SY_B!V27/Inv_SY_B!$BY27-1,"")</f>
        <v>1.0228378090825441E-2</v>
      </c>
      <c r="W27" s="177">
        <f>IFERROR(Inv_SY_B!W27/Inv_SY_B!$BY27-1,"")</f>
        <v>1.0991263533919993E-2</v>
      </c>
      <c r="X27" s="177">
        <f>IFERROR(Inv_SY_B!X27/Inv_SY_B!$BY27-1,"")</f>
        <v>8.4078780552565346E-2</v>
      </c>
      <c r="Y27" s="177">
        <f>IFERROR(Inv_SY_B!Y27/Inv_SY_B!$BY27-1,"")</f>
        <v>7.1595106271263198E-2</v>
      </c>
      <c r="Z27" s="177">
        <f>IFERROR(Inv_SY_B!Z27/Inv_SY_B!$BY27-1,"")</f>
        <v>8.446092278428452E-2</v>
      </c>
      <c r="AA27" s="177">
        <f>IFERROR(Inv_SY_B!AA27/Inv_SY_B!$BY27-1,"")</f>
        <v>5.7297551696827265E-2</v>
      </c>
      <c r="AB27" s="177">
        <f>IFERROR(Inv_SY_B!AB27/Inv_SY_B!$BY27-1,"")</f>
        <v>3.4430216673758895E-2</v>
      </c>
      <c r="AC27" s="177">
        <f>IFERROR(Inv_SY_B!AC27/Inv_SY_B!$BY27-1,"")</f>
        <v>5.8062085303089317E-2</v>
      </c>
      <c r="AD27" s="177">
        <f>IFERROR(Inv_SY_B!AD27/Inv_SY_B!$BY27-1,"")</f>
        <v>6.514569213631427E-2</v>
      </c>
      <c r="AE27" s="177">
        <f>IFERROR(Inv_SY_B!AE27/Inv_SY_B!$BZ27-1,"")</f>
        <v>1.4210059904478545E-2</v>
      </c>
      <c r="AF27" s="177">
        <f>IFERROR(Inv_SY_B!AF27/Inv_SY_B!$BZ27-1,"")</f>
        <v>-9.4355962289471851E-4</v>
      </c>
      <c r="AG27" s="177">
        <f>IFERROR(Inv_SY_B!AG27/Inv_SY_B!$BZ27-1,"")</f>
        <v>1.3594393066611143E-2</v>
      </c>
      <c r="AH27" s="177">
        <f>IFERROR(Inv_SY_B!AH27/Inv_SY_B!$BZ27-1,"")</f>
        <v>3.6318621160758013E-4</v>
      </c>
      <c r="AI27" s="177">
        <f>IFERROR(Inv_SY_B!AI27/Inv_SY_B!$BZ27-1,"")</f>
        <v>1.5609707002935069E-2</v>
      </c>
      <c r="AJ27" s="177">
        <f>IFERROR(Inv_SY_B!AJ27/Inv_SY_B!$BZ27-1,"")</f>
        <v>-2.0939205345308354E-3</v>
      </c>
      <c r="AK27" s="177">
        <f>IFERROR(Inv_SY_B!AK27/Inv_SY_B!$BZ27-1,"")</f>
        <v>6.5744266472158586E-3</v>
      </c>
      <c r="AL27" s="177">
        <f>IFERROR(Inv_SY_B!AL27/Inv_SY_B!$BZ27-1,"")</f>
        <v>1.0758119348401651E-2</v>
      </c>
      <c r="AM27" s="177">
        <f>IFERROR(Inv_SY_B!AM27/Inv_SY_B!$BZ27-1,"")</f>
        <v>-3.325401195708455E-4</v>
      </c>
      <c r="AN27" s="177">
        <f>IFERROR(Inv_SY_B!AN27/Inv_SY_B!$BZ27-1,"")</f>
        <v>1.0328282686352885E-2</v>
      </c>
      <c r="AO27" s="177">
        <f>IFERROR(Inv_SY_B!AO27/Inv_SY_B!$BZ27-1,"")</f>
        <v>1.5993639150542416E-2</v>
      </c>
      <c r="AP27" s="177">
        <f>IFERROR(Inv_SY_B!AP27/Inv_SY_B!$BZ27-1,"")</f>
        <v>5.8113092892291274E-3</v>
      </c>
      <c r="AQ27" s="177">
        <f>IFERROR(Inv_SY_B!AQ27/Inv_SY_B!$BZ27-1,"")</f>
        <v>5.0970727328771837E-3</v>
      </c>
      <c r="AR27" s="177">
        <f>IFERROR(Inv_SY_B!AR27/Inv_SY_B!$BZ27-1,"")</f>
        <v>2.3067262275444644E-3</v>
      </c>
      <c r="AS27" s="177">
        <f>IFERROR(Inv_SY_B!AS27/Inv_SY_B!$BZ27-1,"")</f>
        <v>-2.1151449144280909E-2</v>
      </c>
      <c r="AT27" s="177">
        <f>IFERROR(Inv_SY_B!AT27/Inv_SY_B!$BZ27-1,"")</f>
        <v>-4.0857298643177109E-2</v>
      </c>
      <c r="AU27" s="177">
        <f>IFERROR(Inv_SY_B!AU27/Inv_SY_B!$BZ27-1,"")</f>
        <v>-1.3728235443773329E-2</v>
      </c>
      <c r="AV27" s="177">
        <f>IFERROR(Inv_SY_B!AV27/Inv_SY_B!$BZ27-1,"")</f>
        <v>-2.1539918759571064E-2</v>
      </c>
      <c r="AW27" s="177">
        <f>IFERROR(Inv_SY_B!AW27/Inv_SY_B!$CA27-1,"")</f>
        <v>-8.5670099331263017E-2</v>
      </c>
      <c r="AX27" s="177">
        <f>IFERROR(Inv_SY_B!AX27/Inv_SY_B!$CA27-1,"")</f>
        <v>-6.4982113742257597E-2</v>
      </c>
      <c r="AY27" s="177">
        <f>IFERROR(Inv_SY_B!AY27/Inv_SY_B!$CA27-1,"")</f>
        <v>-1.6844341934398543E-2</v>
      </c>
      <c r="AZ27" s="177">
        <f>IFERROR(Inv_SY_B!AZ27/Inv_SY_B!$CA27-1,"")</f>
        <v>5.3324089279611853E-2</v>
      </c>
      <c r="BA27" s="177">
        <f>IFERROR(Inv_SY_B!BA27/Inv_SY_B!$CA27-1,"")</f>
        <v>-6.1555409049611765E-3</v>
      </c>
      <c r="BB27" s="177">
        <f>IFERROR(Inv_SY_B!BB27/Inv_SY_B!$CA27-1,"")</f>
        <v>2.4612367931901025E-2</v>
      </c>
      <c r="BC27" s="177">
        <f>IFERROR(Inv_SY_B!BC27/Inv_SY_B!$CA27-1,"")</f>
        <v>1.9860086957534717E-2</v>
      </c>
      <c r="BD27" s="177">
        <f>IFERROR(Inv_SY_B!BD27/Inv_SY_B!$CA27-1,"")</f>
        <v>3.035105108431746E-2</v>
      </c>
      <c r="BE27" s="177">
        <f>IFERROR(Inv_SY_B!BE27/Inv_SY_B!$CA27-1,"")</f>
        <v>4.1279707570239355E-2</v>
      </c>
      <c r="BF27" s="177">
        <f>IFERROR(Inv_SY_B!BF27/Inv_SY_B!$CA27-1,"")</f>
        <v>5.3537024504204611E-2</v>
      </c>
      <c r="BG27" s="177">
        <f>IFERROR(Inv_SY_B!BG27/Inv_SY_B!$CA27-1,"")</f>
        <v>6.2383004712610157E-2</v>
      </c>
      <c r="BH27" s="177">
        <f>IFERROR(Inv_SY_B!BH27/Inv_SY_B!$CA27-1,"")</f>
        <v>5.5744909178850666E-2</v>
      </c>
      <c r="BI27" s="177">
        <f>IFERROR(Inv_SY_B!BI27/Inv_SY_B!$CA27-1,"")</f>
        <v>4.1240295526367987E-2</v>
      </c>
      <c r="BJ27" s="177">
        <f>IFERROR(Inv_SY_B!BJ27/Inv_SY_B!$CA27-1,"")</f>
        <v>5.4042598567629829E-2</v>
      </c>
      <c r="BK27" s="177">
        <f>IFERROR(Inv_SY_B!BK27/Inv_SY_B!$CA27-1,"")</f>
        <v>4.011584635754839E-2</v>
      </c>
      <c r="BL27" s="177">
        <f>IFERROR(Inv_SY_B!BL27/Inv_SY_B!$CA27-1,"")</f>
        <v>4.0747188196847972E-2</v>
      </c>
      <c r="BM27" s="177">
        <f>IFERROR(Inv_SY_B!BM27/Inv_SY_B!$CA27-1,"")</f>
        <v>-0.13562568515970097</v>
      </c>
      <c r="BN27" s="177">
        <f>IFERROR(Inv_SY_B!BN27/Inv_SY_B!$CA27-1,"")</f>
        <v>-0.14029110683826174</v>
      </c>
      <c r="BO27" s="177">
        <f>IFERROR(Inv_SY_B!BO27/Inv_SY_B!$CA27-1,"")</f>
        <v>-0.14623637038523107</v>
      </c>
      <c r="BP27" s="177">
        <f>IFERROR(Inv_SY_B!BP27/Inv_SY_B!$CA27-1,"")</f>
        <v>-0.14399457538863969</v>
      </c>
      <c r="BQ27" s="177">
        <f>IFERROR(Inv_SY_B!BQ27/Inv_SY_B!$CA27-1,"")</f>
        <v>1.6776782876452678E-2</v>
      </c>
      <c r="BR27" s="177">
        <f>IFERROR(Inv_SY_B!BR27/Inv_SY_B!$CA27-1,"")</f>
        <v>8.2572270503012968E-2</v>
      </c>
      <c r="BS27" s="177">
        <f>IFERROR(Inv_SY_B!BS27/Inv_SY_B!$CA27-1,"")</f>
        <v>2.2312949962397299E-2</v>
      </c>
      <c r="BT27" s="177">
        <f>IFERROR(Inv_SY_B!BT27/Inv_SY_B!$CA27-1,"")</f>
        <v>4.5251777665603177E-2</v>
      </c>
      <c r="BU27" s="177">
        <f>IFERROR(Inv_SY_B!BU27/Inv_SY_B!$CA27-1,"")</f>
        <v>2.3895548189396765E-2</v>
      </c>
      <c r="BV27" s="177">
        <f>IFERROR(Inv_SY_B!BV27/Inv_SY_B!$CA27-1,"")</f>
        <v>2.6304569337024519E-2</v>
      </c>
      <c r="BW27" s="177">
        <f>IFERROR(Inv_SY_B!BW27/Inv_SY_B!$CA27-1,"")</f>
        <v>1.9582643149238521E-3</v>
      </c>
      <c r="BX27" s="177">
        <f>IFERROR(Inv_SY_B!BX27/Inv_SY_B!$CA27-1,"")</f>
        <v>3.4895009682369693E-3</v>
      </c>
    </row>
    <row r="28" spans="1:76">
      <c r="A28"/>
      <c r="B28" s="173">
        <f t="shared" si="1"/>
        <v>45861</v>
      </c>
      <c r="C28" s="177">
        <f>IFERROR(Inv_SY_B!C28/Inv_SY_B!$BY28-1,"")</f>
        <v>-8.1212525352202247E-3</v>
      </c>
      <c r="D28" s="177">
        <f>IFERROR(Inv_SY_B!D28/Inv_SY_B!$BY28-1,"")</f>
        <v>-9.0905305561483907E-3</v>
      </c>
      <c r="E28" s="177">
        <f>IFERROR(Inv_SY_B!E28/Inv_SY_B!$BY28-1,"")</f>
        <v>-1.4544616919352049E-2</v>
      </c>
      <c r="F28" s="177">
        <f>IFERROR(Inv_SY_B!F28/Inv_SY_B!$BY28-1,"")</f>
        <v>-1.8596909405796391E-2</v>
      </c>
      <c r="G28" s="177">
        <f>IFERROR(Inv_SY_B!G28/Inv_SY_B!$BY28-1,"")</f>
        <v>-1.7714060750147032E-2</v>
      </c>
      <c r="H28" s="177">
        <f>IFERROR(Inv_SY_B!H28/Inv_SY_B!$BY28-1,"")</f>
        <v>-2.4200903646189653E-2</v>
      </c>
      <c r="I28" s="177">
        <f>IFERROR(Inv_SY_B!I28/Inv_SY_B!$BY28-1,"")</f>
        <v>-1.0479503150740088E-2</v>
      </c>
      <c r="J28" s="177">
        <f>IFERROR(Inv_SY_B!J28/Inv_SY_B!$BY28-1,"")</f>
        <v>-5.6636905792675218E-3</v>
      </c>
      <c r="K28" s="177">
        <f>IFERROR(Inv_SY_B!K28/Inv_SY_B!$BY28-1,"")</f>
        <v>-2.3630800234725524E-2</v>
      </c>
      <c r="L28" s="177">
        <f>IFERROR(Inv_SY_B!L28/Inv_SY_B!$BY28-1,"")</f>
        <v>6.870775645393401E-3</v>
      </c>
      <c r="M28" s="177">
        <f>IFERROR(Inv_SY_B!M28/Inv_SY_B!$BY28-1,"")</f>
        <v>3.7742811254450004E-2</v>
      </c>
      <c r="N28" s="177">
        <f>IFERROR(Inv_SY_B!N28/Inv_SY_B!$BY28-1,"")</f>
        <v>-7.6643778195285561E-3</v>
      </c>
      <c r="O28" s="177">
        <f>IFERROR(Inv_SY_B!O28/Inv_SY_B!$BY28-1,"")</f>
        <v>2.0379504977115825E-2</v>
      </c>
      <c r="P28" s="177">
        <f>IFERROR(Inv_SY_B!P28/Inv_SY_B!$BY28-1,"")</f>
        <v>3.2817772141331414E-3</v>
      </c>
      <c r="Q28" s="177">
        <f>IFERROR(Inv_SY_B!Q28/Inv_SY_B!$BY28-1,"")</f>
        <v>1.7239032030154089E-3</v>
      </c>
      <c r="R28" s="177">
        <f>IFERROR(Inv_SY_B!R28/Inv_SY_B!$BY28-1,"")</f>
        <v>-3.9123532535024763E-3</v>
      </c>
      <c r="S28" s="177">
        <f>IFERROR(Inv_SY_B!S28/Inv_SY_B!$BY28-1,"")</f>
        <v>-1.1459715081296729E-4</v>
      </c>
      <c r="T28" s="177">
        <f>IFERROR(Inv_SY_B!T28/Inv_SY_B!$BY28-1,"")</f>
        <v>-9.3831386029983976E-2</v>
      </c>
      <c r="U28" s="177">
        <f>IFERROR(Inv_SY_B!U28/Inv_SY_B!$BY28-1,"")</f>
        <v>-3.0586868769690856E-3</v>
      </c>
      <c r="V28" s="177">
        <f>IFERROR(Inv_SY_B!V28/Inv_SY_B!$BY28-1,"")</f>
        <v>3.1075041865888942E-3</v>
      </c>
      <c r="W28" s="177">
        <f>IFERROR(Inv_SY_B!W28/Inv_SY_B!$BY28-1,"")</f>
        <v>6.7289189852193232E-3</v>
      </c>
      <c r="X28" s="177">
        <f>IFERROR(Inv_SY_B!X28/Inv_SY_B!$BY28-1,"")</f>
        <v>1.4869457472905134E-2</v>
      </c>
      <c r="Y28" s="177">
        <f>IFERROR(Inv_SY_B!Y28/Inv_SY_B!$BY28-1,"")</f>
        <v>2.9666885395558173E-2</v>
      </c>
      <c r="Z28" s="177">
        <f>IFERROR(Inv_SY_B!Z28/Inv_SY_B!$BY28-1,"")</f>
        <v>2.7772736216427063E-2</v>
      </c>
      <c r="AA28" s="177">
        <f>IFERROR(Inv_SY_B!AA28/Inv_SY_B!$BY28-1,"")</f>
        <v>3.1262201142584045E-2</v>
      </c>
      <c r="AB28" s="177">
        <f>IFERROR(Inv_SY_B!AB28/Inv_SY_B!$BY28-1,"")</f>
        <v>1.6362899027070554E-2</v>
      </c>
      <c r="AC28" s="177">
        <f>IFERROR(Inv_SY_B!AC28/Inv_SY_B!$BY28-1,"")</f>
        <v>2.6033377650085621E-2</v>
      </c>
      <c r="AD28" s="177">
        <f>IFERROR(Inv_SY_B!AD28/Inv_SY_B!$BY28-1,"")</f>
        <v>1.4820916537832352E-2</v>
      </c>
      <c r="AE28" s="177">
        <f>IFERROR(Inv_SY_B!AE28/Inv_SY_B!$BZ28-1,"")</f>
        <v>2.655830989434671E-3</v>
      </c>
      <c r="AF28" s="177">
        <f>IFERROR(Inv_SY_B!AF28/Inv_SY_B!$BZ28-1,"")</f>
        <v>-1.0600716192427417E-2</v>
      </c>
      <c r="AG28" s="177">
        <f>IFERROR(Inv_SY_B!AG28/Inv_SY_B!$BZ28-1,"")</f>
        <v>3.3805760895206927E-3</v>
      </c>
      <c r="AH28" s="177">
        <f>IFERROR(Inv_SY_B!AH28/Inv_SY_B!$BZ28-1,"")</f>
        <v>-7.4634315827369901E-3</v>
      </c>
      <c r="AI28" s="177">
        <f>IFERROR(Inv_SY_B!AI28/Inv_SY_B!$BZ28-1,"")</f>
        <v>7.6205837807945542E-3</v>
      </c>
      <c r="AJ28" s="177">
        <f>IFERROR(Inv_SY_B!AJ28/Inv_SY_B!$BZ28-1,"")</f>
        <v>-7.6828929761744158E-3</v>
      </c>
      <c r="AK28" s="177">
        <f>IFERROR(Inv_SY_B!AK28/Inv_SY_B!$BZ28-1,"")</f>
        <v>1.8535406376558594E-3</v>
      </c>
      <c r="AL28" s="177">
        <f>IFERROR(Inv_SY_B!AL28/Inv_SY_B!$BZ28-1,"")</f>
        <v>7.3411112395200817E-3</v>
      </c>
      <c r="AM28" s="177">
        <f>IFERROR(Inv_SY_B!AM28/Inv_SY_B!$BZ28-1,"")</f>
        <v>-3.4030433837787255E-3</v>
      </c>
      <c r="AN28" s="177">
        <f>IFERROR(Inv_SY_B!AN28/Inv_SY_B!$BZ28-1,"")</f>
        <v>2.7887253827452163E-4</v>
      </c>
      <c r="AO28" s="177">
        <f>IFERROR(Inv_SY_B!AO28/Inv_SY_B!$BZ28-1,"")</f>
        <v>1.0948914598102988E-2</v>
      </c>
      <c r="AP28" s="177">
        <f>IFERROR(Inv_SY_B!AP28/Inv_SY_B!$BZ28-1,"")</f>
        <v>-1.1738561928757996E-3</v>
      </c>
      <c r="AQ28" s="177">
        <f>IFERROR(Inv_SY_B!AQ28/Inv_SY_B!$BZ28-1,"")</f>
        <v>-1.6082934006543814E-3</v>
      </c>
      <c r="AR28" s="177">
        <f>IFERROR(Inv_SY_B!AR28/Inv_SY_B!$BZ28-1,"")</f>
        <v>-7.6481223856392777E-3</v>
      </c>
      <c r="AS28" s="177">
        <f>IFERROR(Inv_SY_B!AS28/Inv_SY_B!$BZ28-1,"")</f>
        <v>-4.3583563131139869E-3</v>
      </c>
      <c r="AT28" s="177">
        <f>IFERROR(Inv_SY_B!AT28/Inv_SY_B!$BZ28-1,"")</f>
        <v>9.1761719137768427E-3</v>
      </c>
      <c r="AU28" s="177">
        <f>IFERROR(Inv_SY_B!AU28/Inv_SY_B!$BZ28-1,"")</f>
        <v>4.3231663801357456E-3</v>
      </c>
      <c r="AV28" s="177">
        <f>IFERROR(Inv_SY_B!AV28/Inv_SY_B!$BZ28-1,"")</f>
        <v>-3.6400557398132971E-3</v>
      </c>
      <c r="AW28" s="177">
        <f>IFERROR(Inv_SY_B!AW28/Inv_SY_B!$CA28-1,"")</f>
        <v>-7.4692744468989325E-3</v>
      </c>
      <c r="AX28" s="177">
        <f>IFERROR(Inv_SY_B!AX28/Inv_SY_B!$CA28-1,"")</f>
        <v>6.9208817734278671E-3</v>
      </c>
      <c r="AY28" s="177">
        <f>IFERROR(Inv_SY_B!AY28/Inv_SY_B!$CA28-1,"")</f>
        <v>-4.1115326721748224E-2</v>
      </c>
      <c r="AZ28" s="177">
        <f>IFERROR(Inv_SY_B!AZ28/Inv_SY_B!$CA28-1,"")</f>
        <v>2.2868216629597482E-2</v>
      </c>
      <c r="BA28" s="177">
        <f>IFERROR(Inv_SY_B!BA28/Inv_SY_B!$CA28-1,"")</f>
        <v>-5.0465244638353779E-2</v>
      </c>
      <c r="BB28" s="177">
        <f>IFERROR(Inv_SY_B!BB28/Inv_SY_B!$CA28-1,"")</f>
        <v>-2.3202721355162659E-2</v>
      </c>
      <c r="BC28" s="177">
        <f>IFERROR(Inv_SY_B!BC28/Inv_SY_B!$CA28-1,"")</f>
        <v>-1.8468578217547105E-2</v>
      </c>
      <c r="BD28" s="177">
        <f>IFERROR(Inv_SY_B!BD28/Inv_SY_B!$CA28-1,"")</f>
        <v>-2.7335905089161949E-3</v>
      </c>
      <c r="BE28" s="177">
        <f>IFERROR(Inv_SY_B!BE28/Inv_SY_B!$CA28-1,"")</f>
        <v>-2.0837913635737393E-2</v>
      </c>
      <c r="BF28" s="177">
        <f>IFERROR(Inv_SY_B!BF28/Inv_SY_B!$CA28-1,"")</f>
        <v>-2.5473078623847512E-2</v>
      </c>
      <c r="BG28" s="177">
        <f>IFERROR(Inv_SY_B!BG28/Inv_SY_B!$CA28-1,"")</f>
        <v>-1.6425858707295848E-2</v>
      </c>
      <c r="BH28" s="177">
        <f>IFERROR(Inv_SY_B!BH28/Inv_SY_B!$CA28-1,"")</f>
        <v>-1.1128566160271913E-2</v>
      </c>
      <c r="BI28" s="177">
        <f>IFERROR(Inv_SY_B!BI28/Inv_SY_B!$CA28-1,"")</f>
        <v>3.1571515945016948E-4</v>
      </c>
      <c r="BJ28" s="177">
        <f>IFERROR(Inv_SY_B!BJ28/Inv_SY_B!$CA28-1,"")</f>
        <v>9.4880616609500645E-3</v>
      </c>
      <c r="BK28" s="177">
        <f>IFERROR(Inv_SY_B!BK28/Inv_SY_B!$CA28-1,"")</f>
        <v>1.4120381601889331E-2</v>
      </c>
      <c r="BL28" s="177">
        <f>IFERROR(Inv_SY_B!BL28/Inv_SY_B!$CA28-1,"")</f>
        <v>1.2610146726845795E-3</v>
      </c>
      <c r="BM28" s="177">
        <f>IFERROR(Inv_SY_B!BM28/Inv_SY_B!$CA28-1,"")</f>
        <v>9.3429534298046235E-3</v>
      </c>
      <c r="BN28" s="177">
        <f>IFERROR(Inv_SY_B!BN28/Inv_SY_B!$CA28-1,"")</f>
        <v>1.6866818132139638E-3</v>
      </c>
      <c r="BO28" s="177">
        <f>IFERROR(Inv_SY_B!BO28/Inv_SY_B!$CA28-1,"")</f>
        <v>-1.2184394055808734E-2</v>
      </c>
      <c r="BP28" s="177">
        <f>IFERROR(Inv_SY_B!BP28/Inv_SY_B!$CA28-1,"")</f>
        <v>-9.3340002295461133E-4</v>
      </c>
      <c r="BQ28" s="177">
        <f>IFERROR(Inv_SY_B!BQ28/Inv_SY_B!$CA28-1,"")</f>
        <v>3.2490232344894121E-2</v>
      </c>
      <c r="BR28" s="177">
        <f>IFERROR(Inv_SY_B!BR28/Inv_SY_B!$CA28-1,"")</f>
        <v>9.1398307487883246E-2</v>
      </c>
      <c r="BS28" s="177">
        <f>IFERROR(Inv_SY_B!BS28/Inv_SY_B!$CA28-1,"")</f>
        <v>2.5385741337468959E-2</v>
      </c>
      <c r="BT28" s="177">
        <f>IFERROR(Inv_SY_B!BT28/Inv_SY_B!$CA28-1,"")</f>
        <v>6.6260886980245903E-2</v>
      </c>
      <c r="BU28" s="177">
        <f>IFERROR(Inv_SY_B!BU28/Inv_SY_B!$CA28-1,"")</f>
        <v>-1.5274130008851028E-2</v>
      </c>
      <c r="BV28" s="177">
        <f>IFERROR(Inv_SY_B!BV28/Inv_SY_B!$CA28-1,"")</f>
        <v>-2.4072863769310504E-2</v>
      </c>
      <c r="BW28" s="177">
        <f>IFERROR(Inv_SY_B!BW28/Inv_SY_B!$CA28-1,"")</f>
        <v>2.600602790404638E-3</v>
      </c>
      <c r="BX28" s="177">
        <f>IFERROR(Inv_SY_B!BX28/Inv_SY_B!$CA28-1,"")</f>
        <v>-1.4354736809211288E-2</v>
      </c>
    </row>
    <row r="29" spans="1:76">
      <c r="A29"/>
      <c r="B29" s="173">
        <f t="shared" si="1"/>
        <v>45862</v>
      </c>
      <c r="C29" s="177">
        <f>IFERROR(Inv_SY_B!C29/Inv_SY_B!$BY29-1,"")</f>
        <v>-5.6997990380687202E-3</v>
      </c>
      <c r="D29" s="177">
        <f>IFERROR(Inv_SY_B!D29/Inv_SY_B!$BY29-1,"")</f>
        <v>-7.9632107442169087E-3</v>
      </c>
      <c r="E29" s="177">
        <f>IFERROR(Inv_SY_B!E29/Inv_SY_B!$BY29-1,"")</f>
        <v>-1.3214674566672246E-2</v>
      </c>
      <c r="F29" s="177">
        <f>IFERROR(Inv_SY_B!F29/Inv_SY_B!$BY29-1,"")</f>
        <v>-9.506953146323216E-3</v>
      </c>
      <c r="G29" s="177">
        <f>IFERROR(Inv_SY_B!G29/Inv_SY_B!$BY29-1,"")</f>
        <v>-3.6612552705170831E-3</v>
      </c>
      <c r="H29" s="177">
        <f>IFERROR(Inv_SY_B!H29/Inv_SY_B!$BY29-1,"")</f>
        <v>-1.1062743631403582E-2</v>
      </c>
      <c r="I29" s="177">
        <f>IFERROR(Inv_SY_B!I29/Inv_SY_B!$BY29-1,"")</f>
        <v>7.6116330217446126E-4</v>
      </c>
      <c r="J29" s="177">
        <f>IFERROR(Inv_SY_B!J29/Inv_SY_B!$BY29-1,"")</f>
        <v>3.6040600787925481E-3</v>
      </c>
      <c r="K29" s="177">
        <f>IFERROR(Inv_SY_B!K29/Inv_SY_B!$BY29-1,"")</f>
        <v>-2.1388157523809181E-2</v>
      </c>
      <c r="L29" s="177">
        <f>IFERROR(Inv_SY_B!L29/Inv_SY_B!$BY29-1,"")</f>
        <v>1.5467027462851446E-2</v>
      </c>
      <c r="M29" s="177">
        <f>IFERROR(Inv_SY_B!M29/Inv_SY_B!$BY29-1,"")</f>
        <v>4.2087106122057572E-2</v>
      </c>
      <c r="N29" s="177">
        <f>IFERROR(Inv_SY_B!N29/Inv_SY_B!$BY29-1,"")</f>
        <v>-6.0557057410438597E-3</v>
      </c>
      <c r="O29" s="177">
        <f>IFERROR(Inv_SY_B!O29/Inv_SY_B!$BY29-1,"")</f>
        <v>1.9805398738321545E-2</v>
      </c>
      <c r="P29" s="177">
        <f>IFERROR(Inv_SY_B!P29/Inv_SY_B!$BY29-1,"")</f>
        <v>1.6067714434297997E-3</v>
      </c>
      <c r="Q29" s="177">
        <f>IFERROR(Inv_SY_B!Q29/Inv_SY_B!$BY29-1,"")</f>
        <v>-1.6444363826323194E-2</v>
      </c>
      <c r="R29" s="177">
        <f>IFERROR(Inv_SY_B!R29/Inv_SY_B!$BY29-1,"")</f>
        <v>-2.5726872446726334E-3</v>
      </c>
      <c r="S29" s="177">
        <f>IFERROR(Inv_SY_B!S29/Inv_SY_B!$BY29-1,"")</f>
        <v>-1.1577659566729404E-3</v>
      </c>
      <c r="T29" s="177">
        <f>IFERROR(Inv_SY_B!T29/Inv_SY_B!$BY29-1,"")</f>
        <v>-0.10132095647210504</v>
      </c>
      <c r="U29" s="177">
        <f>IFERROR(Inv_SY_B!U29/Inv_SY_B!$BY29-1,"")</f>
        <v>6.0994453318419239E-4</v>
      </c>
      <c r="V29" s="177">
        <f>IFERROR(Inv_SY_B!V29/Inv_SY_B!$BY29-1,"")</f>
        <v>5.5057780798883904E-3</v>
      </c>
      <c r="W29" s="177">
        <f>IFERROR(Inv_SY_B!W29/Inv_SY_B!$BY29-1,"")</f>
        <v>7.4280004136970668E-3</v>
      </c>
      <c r="X29" s="177">
        <f>IFERROR(Inv_SY_B!X29/Inv_SY_B!$BY29-1,"")</f>
        <v>9.1973705376084958E-3</v>
      </c>
      <c r="Y29" s="177">
        <f>IFERROR(Inv_SY_B!Y29/Inv_SY_B!$BY29-1,"")</f>
        <v>2.1851977992253246E-2</v>
      </c>
      <c r="Z29" s="177">
        <f>IFERROR(Inv_SY_B!Z29/Inv_SY_B!$BY29-1,"")</f>
        <v>2.2841425823110439E-2</v>
      </c>
      <c r="AA29" s="177">
        <f>IFERROR(Inv_SY_B!AA29/Inv_SY_B!$BY29-1,"")</f>
        <v>2.1945246313711086E-2</v>
      </c>
      <c r="AB29" s="177">
        <f>IFERROR(Inv_SY_B!AB29/Inv_SY_B!$BY29-1,"")</f>
        <v>5.3558495873911038E-3</v>
      </c>
      <c r="AC29" s="177">
        <f>IFERROR(Inv_SY_B!AC29/Inv_SY_B!$BY29-1,"")</f>
        <v>1.5165152546137151E-2</v>
      </c>
      <c r="AD29" s="177">
        <f>IFERROR(Inv_SY_B!AD29/Inv_SY_B!$BY29-1,"")</f>
        <v>6.8160001872190623E-3</v>
      </c>
      <c r="AE29" s="177">
        <f>IFERROR(Inv_SY_B!AE29/Inv_SY_B!$BZ29-1,"")</f>
        <v>-7.4746467888808787E-4</v>
      </c>
      <c r="AF29" s="177">
        <f>IFERROR(Inv_SY_B!AF29/Inv_SY_B!$BZ29-1,"")</f>
        <v>-1.4642143616345749E-2</v>
      </c>
      <c r="AG29" s="177">
        <f>IFERROR(Inv_SY_B!AG29/Inv_SY_B!$BZ29-1,"")</f>
        <v>6.3008924903007468E-4</v>
      </c>
      <c r="AH29" s="177">
        <f>IFERROR(Inv_SY_B!AH29/Inv_SY_B!$BZ29-1,"")</f>
        <v>-7.0069555016993856E-3</v>
      </c>
      <c r="AI29" s="177">
        <f>IFERROR(Inv_SY_B!AI29/Inv_SY_B!$BZ29-1,"")</f>
        <v>5.2085518852789114E-3</v>
      </c>
      <c r="AJ29" s="177">
        <f>IFERROR(Inv_SY_B!AJ29/Inv_SY_B!$BZ29-1,"")</f>
        <v>-8.441359223838707E-3</v>
      </c>
      <c r="AK29" s="177">
        <f>IFERROR(Inv_SY_B!AK29/Inv_SY_B!$BZ29-1,"")</f>
        <v>-9.3533216691943366E-4</v>
      </c>
      <c r="AL29" s="177">
        <f>IFERROR(Inv_SY_B!AL29/Inv_SY_B!$BZ29-1,"")</f>
        <v>8.3817780556294519E-3</v>
      </c>
      <c r="AM29" s="177">
        <f>IFERROR(Inv_SY_B!AM29/Inv_SY_B!$BZ29-1,"")</f>
        <v>-2.8522689910793764E-3</v>
      </c>
      <c r="AN29" s="177">
        <f>IFERROR(Inv_SY_B!AN29/Inv_SY_B!$BZ29-1,"")</f>
        <v>5.1314396845225652E-3</v>
      </c>
      <c r="AO29" s="177">
        <f>IFERROR(Inv_SY_B!AO29/Inv_SY_B!$BZ29-1,"")</f>
        <v>8.1617524665027474E-3</v>
      </c>
      <c r="AP29" s="177">
        <f>IFERROR(Inv_SY_B!AP29/Inv_SY_B!$BZ29-1,"")</f>
        <v>-3.0853699743085272E-3</v>
      </c>
      <c r="AQ29" s="177">
        <f>IFERROR(Inv_SY_B!AQ29/Inv_SY_B!$BZ29-1,"")</f>
        <v>4.6452667868646103E-4</v>
      </c>
      <c r="AR29" s="177">
        <f>IFERROR(Inv_SY_B!AR29/Inv_SY_B!$BZ29-1,"")</f>
        <v>-2.9982638174175236E-3</v>
      </c>
      <c r="AS29" s="177">
        <f>IFERROR(Inv_SY_B!AS29/Inv_SY_B!$BZ29-1,"")</f>
        <v>-6.2732417542122887E-3</v>
      </c>
      <c r="AT29" s="177">
        <f>IFERROR(Inv_SY_B!AT29/Inv_SY_B!$BZ29-1,"")</f>
        <v>1.1522223921593966E-2</v>
      </c>
      <c r="AU29" s="177">
        <f>IFERROR(Inv_SY_B!AU29/Inv_SY_B!$BZ29-1,"")</f>
        <v>4.8881806309231113E-3</v>
      </c>
      <c r="AV29" s="177">
        <f>IFERROR(Inv_SY_B!AV29/Inv_SY_B!$BZ29-1,"")</f>
        <v>2.5938571525399023E-3</v>
      </c>
      <c r="AW29" s="177">
        <f>IFERROR(Inv_SY_B!AW29/Inv_SY_B!$CA29-1,"")</f>
        <v>2.7482294637854787E-2</v>
      </c>
      <c r="AX29" s="177">
        <f>IFERROR(Inv_SY_B!AX29/Inv_SY_B!$CA29-1,"")</f>
        <v>4.1370100170994073E-2</v>
      </c>
      <c r="AY29" s="177">
        <f>IFERROR(Inv_SY_B!AY29/Inv_SY_B!$CA29-1,"")</f>
        <v>-9.2193065298223908E-3</v>
      </c>
      <c r="AZ29" s="177">
        <f>IFERROR(Inv_SY_B!AZ29/Inv_SY_B!$CA29-1,"")</f>
        <v>5.5079860173051554E-2</v>
      </c>
      <c r="BA29" s="177">
        <f>IFERROR(Inv_SY_B!BA29/Inv_SY_B!$CA29-1,"")</f>
        <v>-1.5537718040384396E-2</v>
      </c>
      <c r="BB29" s="177">
        <f>IFERROR(Inv_SY_B!BB29/Inv_SY_B!$CA29-1,"")</f>
        <v>9.0388917064547769E-3</v>
      </c>
      <c r="BC29" s="177">
        <f>IFERROR(Inv_SY_B!BC29/Inv_SY_B!$CA29-1,"")</f>
        <v>8.0022307126574876E-3</v>
      </c>
      <c r="BD29" s="177">
        <f>IFERROR(Inv_SY_B!BD29/Inv_SY_B!$CA29-1,"")</f>
        <v>2.5133850812548042E-2</v>
      </c>
      <c r="BE29" s="177">
        <f>IFERROR(Inv_SY_B!BE29/Inv_SY_B!$CA29-1,"")</f>
        <v>-1.1339668011691617E-2</v>
      </c>
      <c r="BF29" s="177">
        <f>IFERROR(Inv_SY_B!BF29/Inv_SY_B!$CA29-1,"")</f>
        <v>-1.5275855200925559E-2</v>
      </c>
      <c r="BG29" s="177">
        <f>IFERROR(Inv_SY_B!BG29/Inv_SY_B!$CA29-1,"")</f>
        <v>-1.3629778242755242E-2</v>
      </c>
      <c r="BH29" s="177">
        <f>IFERROR(Inv_SY_B!BH29/Inv_SY_B!$CA29-1,"")</f>
        <v>-7.0445849464051413E-3</v>
      </c>
      <c r="BI29" s="177">
        <f>IFERROR(Inv_SY_B!BI29/Inv_SY_B!$CA29-1,"")</f>
        <v>8.5007236270675524E-3</v>
      </c>
      <c r="BJ29" s="177">
        <f>IFERROR(Inv_SY_B!BJ29/Inv_SY_B!$CA29-1,"")</f>
        <v>1.2191406202473276E-2</v>
      </c>
      <c r="BK29" s="177">
        <f>IFERROR(Inv_SY_B!BK29/Inv_SY_B!$CA29-1,"")</f>
        <v>2.0015195025742116E-2</v>
      </c>
      <c r="BL29" s="177">
        <f>IFERROR(Inv_SY_B!BL29/Inv_SY_B!$CA29-1,"")</f>
        <v>1.1571852649635117E-2</v>
      </c>
      <c r="BM29" s="177">
        <f>IFERROR(Inv_SY_B!BM29/Inv_SY_B!$CA29-1,"")</f>
        <v>5.5404705204007421E-3</v>
      </c>
      <c r="BN29" s="177">
        <f>IFERROR(Inv_SY_B!BN29/Inv_SY_B!$CA29-1,"")</f>
        <v>-3.541566228127957E-4</v>
      </c>
      <c r="BO29" s="177">
        <f>IFERROR(Inv_SY_B!BO29/Inv_SY_B!$CA29-1,"")</f>
        <v>-8.9761276913438159E-3</v>
      </c>
      <c r="BP29" s="177">
        <f>IFERROR(Inv_SY_B!BP29/Inv_SY_B!$CA29-1,"")</f>
        <v>-2.6422827134627846E-3</v>
      </c>
      <c r="BQ29" s="177">
        <f>IFERROR(Inv_SY_B!BQ29/Inv_SY_B!$CA29-1,"")</f>
        <v>-3.1990049339881699E-3</v>
      </c>
      <c r="BR29" s="177">
        <f>IFERROR(Inv_SY_B!BR29/Inv_SY_B!$CA29-1,"")</f>
        <v>5.346315376666877E-2</v>
      </c>
      <c r="BS29" s="177">
        <f>IFERROR(Inv_SY_B!BS29/Inv_SY_B!$CA29-1,"")</f>
        <v>-5.8277848336194538E-3</v>
      </c>
      <c r="BT29" s="177">
        <f>IFERROR(Inv_SY_B!BT29/Inv_SY_B!$CA29-1,"")</f>
        <v>2.8384755607916867E-2</v>
      </c>
      <c r="BU29" s="177">
        <f>IFERROR(Inv_SY_B!BU29/Inv_SY_B!$CA29-1,"")</f>
        <v>-3.0640532504285778E-2</v>
      </c>
      <c r="BV29" s="177">
        <f>IFERROR(Inv_SY_B!BV29/Inv_SY_B!$CA29-1,"")</f>
        <v>-0.10664860801257048</v>
      </c>
      <c r="BW29" s="177">
        <f>IFERROR(Inv_SY_B!BW29/Inv_SY_B!$CA29-1,"")</f>
        <v>-2.6533172095298707E-2</v>
      </c>
      <c r="BX29" s="177">
        <f>IFERROR(Inv_SY_B!BX29/Inv_SY_B!$CA29-1,"")</f>
        <v>-4.8906205234093614E-2</v>
      </c>
    </row>
    <row r="30" spans="1:76">
      <c r="A30"/>
      <c r="B30" s="173">
        <f t="shared" si="1"/>
        <v>45863</v>
      </c>
      <c r="C30" s="177">
        <f>IFERROR(Inv_SY_B!C30/Inv_SY_B!$BY30-1,"")</f>
        <v>1.7008331193357762E-4</v>
      </c>
      <c r="D30" s="177">
        <f>IFERROR(Inv_SY_B!D30/Inv_SY_B!$BY30-1,"")</f>
        <v>-1.9140259047593089E-3</v>
      </c>
      <c r="E30" s="177">
        <f>IFERROR(Inv_SY_B!E30/Inv_SY_B!$BY30-1,"")</f>
        <v>-4.2305074418825805E-3</v>
      </c>
      <c r="F30" s="177">
        <f>IFERROR(Inv_SY_B!F30/Inv_SY_B!$BY30-1,"")</f>
        <v>-1.7720756740863264E-3</v>
      </c>
      <c r="G30" s="177">
        <f>IFERROR(Inv_SY_B!G30/Inv_SY_B!$BY30-1,"")</f>
        <v>6.7940225753195804E-3</v>
      </c>
      <c r="H30" s="177">
        <f>IFERROR(Inv_SY_B!H30/Inv_SY_B!$BY30-1,"")</f>
        <v>-4.2375376877707982E-3</v>
      </c>
      <c r="I30" s="177">
        <f>IFERROR(Inv_SY_B!I30/Inv_SY_B!$BY30-1,"")</f>
        <v>5.0573146274668357E-3</v>
      </c>
      <c r="J30" s="177">
        <f>IFERROR(Inv_SY_B!J30/Inv_SY_B!$BY30-1,"")</f>
        <v>6.9284500661372928E-3</v>
      </c>
      <c r="K30" s="177">
        <f>IFERROR(Inv_SY_B!K30/Inv_SY_B!$BY30-1,"")</f>
        <v>-1.7464007573928408E-2</v>
      </c>
      <c r="L30" s="177">
        <f>IFERROR(Inv_SY_B!L30/Inv_SY_B!$BY30-1,"")</f>
        <v>1.9027105673930844E-2</v>
      </c>
      <c r="M30" s="177">
        <f>IFERROR(Inv_SY_B!M30/Inv_SY_B!$BY30-1,"")</f>
        <v>4.1960182774749777E-2</v>
      </c>
      <c r="N30" s="177">
        <f>IFERROR(Inv_SY_B!N30/Inv_SY_B!$BY30-1,"")</f>
        <v>-9.5564699579591128E-3</v>
      </c>
      <c r="O30" s="177">
        <f>IFERROR(Inv_SY_B!O30/Inv_SY_B!$BY30-1,"")</f>
        <v>2.2635782071010802E-2</v>
      </c>
      <c r="P30" s="177">
        <f>IFERROR(Inv_SY_B!P30/Inv_SY_B!$BY30-1,"")</f>
        <v>3.4224758335152927E-3</v>
      </c>
      <c r="Q30" s="177">
        <f>IFERROR(Inv_SY_B!Q30/Inv_SY_B!$BY30-1,"")</f>
        <v>9.4094673975861909E-3</v>
      </c>
      <c r="R30" s="177">
        <f>IFERROR(Inv_SY_B!R30/Inv_SY_B!$BY30-1,"")</f>
        <v>2.1564536983040838E-3</v>
      </c>
      <c r="S30" s="177">
        <f>IFERROR(Inv_SY_B!S30/Inv_SY_B!$BY30-1,"")</f>
        <v>-8.986196507005717E-3</v>
      </c>
      <c r="T30" s="177">
        <f>IFERROR(Inv_SY_B!T30/Inv_SY_B!$BY30-1,"")</f>
        <v>-0.10536318580775661</v>
      </c>
      <c r="U30" s="177">
        <f>IFERROR(Inv_SY_B!U30/Inv_SY_B!$BY30-1,"")</f>
        <v>-3.4257018572999565E-3</v>
      </c>
      <c r="V30" s="177">
        <f>IFERROR(Inv_SY_B!V30/Inv_SY_B!$BY30-1,"")</f>
        <v>3.4846032643975899E-3</v>
      </c>
      <c r="W30" s="177">
        <f>IFERROR(Inv_SY_B!W30/Inv_SY_B!$BY30-1,"")</f>
        <v>-8.0257884866407059E-3</v>
      </c>
      <c r="X30" s="177">
        <f>IFERROR(Inv_SY_B!X30/Inv_SY_B!$BY30-1,"")</f>
        <v>-2.4461168816711787E-3</v>
      </c>
      <c r="Y30" s="177">
        <f>IFERROR(Inv_SY_B!Y30/Inv_SY_B!$BY30-1,"")</f>
        <v>1.2268737597526114E-2</v>
      </c>
      <c r="Z30" s="177">
        <f>IFERROR(Inv_SY_B!Z30/Inv_SY_B!$BY30-1,"")</f>
        <v>1.4705787840746387E-2</v>
      </c>
      <c r="AA30" s="177">
        <f>IFERROR(Inv_SY_B!AA30/Inv_SY_B!$BY30-1,"")</f>
        <v>1.354072983087562E-2</v>
      </c>
      <c r="AB30" s="177">
        <f>IFERROR(Inv_SY_B!AB30/Inv_SY_B!$BY30-1,"")</f>
        <v>-3.9040293673950899E-3</v>
      </c>
      <c r="AC30" s="177">
        <f>IFERROR(Inv_SY_B!AC30/Inv_SY_B!$BY30-1,"")</f>
        <v>9.8400626949441961E-3</v>
      </c>
      <c r="AD30" s="177">
        <f>IFERROR(Inv_SY_B!AD30/Inv_SY_B!$BY30-1,"")</f>
        <v>-7.5616110284060234E-5</v>
      </c>
      <c r="AE30" s="177">
        <f>IFERROR(Inv_SY_B!AE30/Inv_SY_B!$BZ30-1,"")</f>
        <v>-7.5528394618677996E-3</v>
      </c>
      <c r="AF30" s="177">
        <f>IFERROR(Inv_SY_B!AF30/Inv_SY_B!$BZ30-1,"")</f>
        <v>-1.2444605615925641E-2</v>
      </c>
      <c r="AG30" s="177">
        <f>IFERROR(Inv_SY_B!AG30/Inv_SY_B!$BZ30-1,"")</f>
        <v>1.0229973607027931E-2</v>
      </c>
      <c r="AH30" s="177">
        <f>IFERROR(Inv_SY_B!AH30/Inv_SY_B!$BZ30-1,"")</f>
        <v>-2.8927499583779603E-3</v>
      </c>
      <c r="AI30" s="177">
        <f>IFERROR(Inv_SY_B!AI30/Inv_SY_B!$BZ30-1,"")</f>
        <v>6.6931872411868376E-3</v>
      </c>
      <c r="AJ30" s="177">
        <f>IFERROR(Inv_SY_B!AJ30/Inv_SY_B!$BZ30-1,"")</f>
        <v>-9.9702776983450203E-3</v>
      </c>
      <c r="AK30" s="177">
        <f>IFERROR(Inv_SY_B!AK30/Inv_SY_B!$BZ30-1,"")</f>
        <v>-5.2855784794929583E-3</v>
      </c>
      <c r="AL30" s="177">
        <f>IFERROR(Inv_SY_B!AL30/Inv_SY_B!$BZ30-1,"")</f>
        <v>1.6262834290550199E-3</v>
      </c>
      <c r="AM30" s="177">
        <f>IFERROR(Inv_SY_B!AM30/Inv_SY_B!$BZ30-1,"")</f>
        <v>4.2561805779637307E-3</v>
      </c>
      <c r="AN30" s="177">
        <f>IFERROR(Inv_SY_B!AN30/Inv_SY_B!$BZ30-1,"")</f>
        <v>1.7487027055565596E-2</v>
      </c>
      <c r="AO30" s="177">
        <f>IFERROR(Inv_SY_B!AO30/Inv_SY_B!$BZ30-1,"")</f>
        <v>2.36657886944458E-2</v>
      </c>
      <c r="AP30" s="177">
        <f>IFERROR(Inv_SY_B!AP30/Inv_SY_B!$BZ30-1,"")</f>
        <v>1.4736058976064115E-2</v>
      </c>
      <c r="AQ30" s="177">
        <f>IFERROR(Inv_SY_B!AQ30/Inv_SY_B!$BZ30-1,"")</f>
        <v>1.7437340132101298E-2</v>
      </c>
      <c r="AR30" s="177">
        <f>IFERROR(Inv_SY_B!AR30/Inv_SY_B!$BZ30-1,"")</f>
        <v>1.3214408211287498E-2</v>
      </c>
      <c r="AS30" s="177">
        <f>IFERROR(Inv_SY_B!AS30/Inv_SY_B!$BZ30-1,"")</f>
        <v>-2.2751015924103557E-2</v>
      </c>
      <c r="AT30" s="177">
        <f>IFERROR(Inv_SY_B!AT30/Inv_SY_B!$BZ30-1,"")</f>
        <v>-1.7091186826833304E-2</v>
      </c>
      <c r="AU30" s="177">
        <f>IFERROR(Inv_SY_B!AU30/Inv_SY_B!$BZ30-1,"")</f>
        <v>-2.0050447169189689E-2</v>
      </c>
      <c r="AV30" s="177">
        <f>IFERROR(Inv_SY_B!AV30/Inv_SY_B!$BZ30-1,"")</f>
        <v>-1.1307546790558454E-2</v>
      </c>
      <c r="AW30" s="177">
        <f>IFERROR(Inv_SY_B!AW30/Inv_SY_B!$CA30-1,"")</f>
        <v>-1.7159025013283036E-2</v>
      </c>
      <c r="AX30" s="177">
        <f>IFERROR(Inv_SY_B!AX30/Inv_SY_B!$CA30-1,"")</f>
        <v>4.6021678832941504E-5</v>
      </c>
      <c r="AY30" s="177">
        <f>IFERROR(Inv_SY_B!AY30/Inv_SY_B!$CA30-1,"")</f>
        <v>-2.8045869021384728E-2</v>
      </c>
      <c r="AZ30" s="177">
        <f>IFERROR(Inv_SY_B!AZ30/Inv_SY_B!$CA30-1,"")</f>
        <v>4.0857901667397112E-2</v>
      </c>
      <c r="BA30" s="177">
        <f>IFERROR(Inv_SY_B!BA30/Inv_SY_B!$CA30-1,"")</f>
        <v>-2.8553224990690684E-2</v>
      </c>
      <c r="BB30" s="177">
        <f>IFERROR(Inv_SY_B!BB30/Inv_SY_B!$CA30-1,"")</f>
        <v>-2.9512450478055285E-3</v>
      </c>
      <c r="BC30" s="177">
        <f>IFERROR(Inv_SY_B!BC30/Inv_SY_B!$CA30-1,"")</f>
        <v>-2.4592620432373202E-3</v>
      </c>
      <c r="BD30" s="177">
        <f>IFERROR(Inv_SY_B!BD30/Inv_SY_B!$CA30-1,"")</f>
        <v>1.0422378937975374E-2</v>
      </c>
      <c r="BE30" s="177">
        <f>IFERROR(Inv_SY_B!BE30/Inv_SY_B!$CA30-1,"")</f>
        <v>-1.2885829468842536E-2</v>
      </c>
      <c r="BF30" s="177">
        <f>IFERROR(Inv_SY_B!BF30/Inv_SY_B!$CA30-1,"")</f>
        <v>-1.2841052509841466E-2</v>
      </c>
      <c r="BG30" s="177">
        <f>IFERROR(Inv_SY_B!BG30/Inv_SY_B!$CA30-1,"")</f>
        <v>-5.2057688617321851E-3</v>
      </c>
      <c r="BH30" s="177">
        <f>IFERROR(Inv_SY_B!BH30/Inv_SY_B!$CA30-1,"")</f>
        <v>-2.1932695076795072E-3</v>
      </c>
      <c r="BI30" s="177">
        <f>IFERROR(Inv_SY_B!BI30/Inv_SY_B!$CA30-1,"")</f>
        <v>2.0185786260362937E-2</v>
      </c>
      <c r="BJ30" s="177">
        <f>IFERROR(Inv_SY_B!BJ30/Inv_SY_B!$CA30-1,"")</f>
        <v>2.7554469552327321E-2</v>
      </c>
      <c r="BK30" s="177">
        <f>IFERROR(Inv_SY_B!BK30/Inv_SY_B!$CA30-1,"")</f>
        <v>3.083316790895041E-2</v>
      </c>
      <c r="BL30" s="177">
        <f>IFERROR(Inv_SY_B!BL30/Inv_SY_B!$CA30-1,"")</f>
        <v>1.7904931268292623E-2</v>
      </c>
      <c r="BM30" s="177">
        <f>IFERROR(Inv_SY_B!BM30/Inv_SY_B!$CA30-1,"")</f>
        <v>3.3543570630796271E-3</v>
      </c>
      <c r="BN30" s="177">
        <f>IFERROR(Inv_SY_B!BN30/Inv_SY_B!$CA30-1,"")</f>
        <v>-3.818620572748066E-3</v>
      </c>
      <c r="BO30" s="177">
        <f>IFERROR(Inv_SY_B!BO30/Inv_SY_B!$CA30-1,"")</f>
        <v>-8.9787181332426913E-3</v>
      </c>
      <c r="BP30" s="177">
        <f>IFERROR(Inv_SY_B!BP30/Inv_SY_B!$CA30-1,"")</f>
        <v>-3.1087184926743561E-3</v>
      </c>
      <c r="BQ30" s="177">
        <f>IFERROR(Inv_SY_B!BQ30/Inv_SY_B!$CA30-1,"")</f>
        <v>3.7464286526445179E-4</v>
      </c>
      <c r="BR30" s="177">
        <f>IFERROR(Inv_SY_B!BR30/Inv_SY_B!$CA30-1,"")</f>
        <v>5.7903296609664645E-2</v>
      </c>
      <c r="BS30" s="177">
        <f>IFERROR(Inv_SY_B!BS30/Inv_SY_B!$CA30-1,"")</f>
        <v>3.2158830600059751E-3</v>
      </c>
      <c r="BT30" s="177">
        <f>IFERROR(Inv_SY_B!BT30/Inv_SY_B!$CA30-1,"")</f>
        <v>3.5298417674467508E-2</v>
      </c>
      <c r="BU30" s="177">
        <f>IFERROR(Inv_SY_B!BU30/Inv_SY_B!$CA30-1,"")</f>
        <v>-1.8132519326557683E-2</v>
      </c>
      <c r="BV30" s="177">
        <f>IFERROR(Inv_SY_B!BV30/Inv_SY_B!$CA30-1,"")</f>
        <v>-1.8108516173066747E-2</v>
      </c>
      <c r="BW30" s="177">
        <f>IFERROR(Inv_SY_B!BW30/Inv_SY_B!$CA30-1,"")</f>
        <v>-2.524026179875305E-2</v>
      </c>
      <c r="BX30" s="177">
        <f>IFERROR(Inv_SY_B!BX30/Inv_SY_B!$CA30-1,"")</f>
        <v>-5.8269353585075123E-2</v>
      </c>
    </row>
    <row r="31" spans="1:76">
      <c r="A31"/>
      <c r="B31" s="173">
        <f t="shared" si="1"/>
        <v>45864</v>
      </c>
      <c r="C31" s="177">
        <f>IFERROR(Inv_SY_B!C31/Inv_SY_B!$BY31-1,"")</f>
        <v>-2.6380220404705224E-2</v>
      </c>
      <c r="D31" s="177">
        <f>IFERROR(Inv_SY_B!D31/Inv_SY_B!$BY31-1,"")</f>
        <v>-2.5237474184522934E-2</v>
      </c>
      <c r="E31" s="177">
        <f>IFERROR(Inv_SY_B!E31/Inv_SY_B!$BY31-1,"")</f>
        <v>-3.1304053241139607E-2</v>
      </c>
      <c r="F31" s="177">
        <f>IFERROR(Inv_SY_B!F31/Inv_SY_B!$BY31-1,"")</f>
        <v>-3.6900046852698876E-2</v>
      </c>
      <c r="G31" s="177">
        <f>IFERROR(Inv_SY_B!G31/Inv_SY_B!$BY31-1,"")</f>
        <v>-3.1421931660041813E-2</v>
      </c>
      <c r="H31" s="177">
        <f>IFERROR(Inv_SY_B!H31/Inv_SY_B!$BY31-1,"")</f>
        <v>-3.6545999309692934E-2</v>
      </c>
      <c r="I31" s="177">
        <f>IFERROR(Inv_SY_B!I31/Inv_SY_B!$BY31-1,"")</f>
        <v>-2.6523607281648376E-2</v>
      </c>
      <c r="J31" s="177">
        <f>IFERROR(Inv_SY_B!J31/Inv_SY_B!$BY31-1,"")</f>
        <v>-1.6560563841595655E-2</v>
      </c>
      <c r="K31" s="177">
        <f>IFERROR(Inv_SY_B!K31/Inv_SY_B!$BY31-1,"")</f>
        <v>-4.6194506910501087E-2</v>
      </c>
      <c r="L31" s="177">
        <f>IFERROR(Inv_SY_B!L31/Inv_SY_B!$BY31-1,"")</f>
        <v>-8.998180704307468E-3</v>
      </c>
      <c r="M31" s="177">
        <f>IFERROR(Inv_SY_B!M31/Inv_SY_B!$BY31-1,"")</f>
        <v>-2.3214627530148024E-2</v>
      </c>
      <c r="N31" s="177">
        <f>IFERROR(Inv_SY_B!N31/Inv_SY_B!$BY31-1,"")</f>
        <v>-5.8298243409280137E-2</v>
      </c>
      <c r="O31" s="177">
        <f>IFERROR(Inv_SY_B!O31/Inv_SY_B!$BY31-1,"")</f>
        <v>-4.213435494263118E-3</v>
      </c>
      <c r="P31" s="177">
        <f>IFERROR(Inv_SY_B!P31/Inv_SY_B!$BY31-1,"")</f>
        <v>-8.5113311781412904E-3</v>
      </c>
      <c r="Q31" s="177">
        <f>IFERROR(Inv_SY_B!Q31/Inv_SY_B!$BY31-1,"")</f>
        <v>-1.0361948148488009E-2</v>
      </c>
      <c r="R31" s="177">
        <f>IFERROR(Inv_SY_B!R31/Inv_SY_B!$BY31-1,"")</f>
        <v>-1.8919026289086815E-2</v>
      </c>
      <c r="S31" s="177">
        <f>IFERROR(Inv_SY_B!S31/Inv_SY_B!$BY31-1,"")</f>
        <v>1.9220371593228647E-2</v>
      </c>
      <c r="T31" s="177">
        <f>IFERROR(Inv_SY_B!T31/Inv_SY_B!$BY31-1,"")</f>
        <v>-7.3680066305960579E-2</v>
      </c>
      <c r="U31" s="177">
        <f>IFERROR(Inv_SY_B!U31/Inv_SY_B!$BY31-1,"")</f>
        <v>1.9417418949400744E-2</v>
      </c>
      <c r="V31" s="177">
        <f>IFERROR(Inv_SY_B!V31/Inv_SY_B!$BY31-1,"")</f>
        <v>2.5892601383233016E-2</v>
      </c>
      <c r="W31" s="177">
        <f>IFERROR(Inv_SY_B!W31/Inv_SY_B!$BY31-1,"")</f>
        <v>4.1889268510802324E-2</v>
      </c>
      <c r="X31" s="177">
        <f>IFERROR(Inv_SY_B!X31/Inv_SY_B!$BY31-1,"")</f>
        <v>4.4677731180744029E-2</v>
      </c>
      <c r="Y31" s="177">
        <f>IFERROR(Inv_SY_B!Y31/Inv_SY_B!$BY31-1,"")</f>
        <v>6.3369127662363578E-2</v>
      </c>
      <c r="Z31" s="177">
        <f>IFERROR(Inv_SY_B!Z31/Inv_SY_B!$BY31-1,"")</f>
        <v>6.6614427174154001E-2</v>
      </c>
      <c r="AA31" s="177">
        <f>IFERROR(Inv_SY_B!AA31/Inv_SY_B!$BY31-1,"")</f>
        <v>5.7476883139884194E-2</v>
      </c>
      <c r="AB31" s="177">
        <f>IFERROR(Inv_SY_B!AB31/Inv_SY_B!$BY31-1,"")</f>
        <v>3.8508303300451407E-2</v>
      </c>
      <c r="AC31" s="177">
        <f>IFERROR(Inv_SY_B!AC31/Inv_SY_B!$BY31-1,"")</f>
        <v>5.7235837562737979E-2</v>
      </c>
      <c r="AD31" s="177">
        <f>IFERROR(Inv_SY_B!AD31/Inv_SY_B!$BY31-1,"")</f>
        <v>4.896329228921692E-2</v>
      </c>
      <c r="AE31" s="177">
        <f>IFERROR(Inv_SY_B!AE31/Inv_SY_B!$BZ31-1,"")</f>
        <v>6.3681590568041013E-3</v>
      </c>
      <c r="AF31" s="177">
        <f>IFERROR(Inv_SY_B!AF31/Inv_SY_B!$BZ31-1,"")</f>
        <v>-4.4115742767699695E-3</v>
      </c>
      <c r="AG31" s="177">
        <f>IFERROR(Inv_SY_B!AG31/Inv_SY_B!$BZ31-1,"")</f>
        <v>1.2402942721793098E-2</v>
      </c>
      <c r="AH31" s="177">
        <f>IFERROR(Inv_SY_B!AH31/Inv_SY_B!$BZ31-1,"")</f>
        <v>6.5181167057677403E-3</v>
      </c>
      <c r="AI31" s="177">
        <f>IFERROR(Inv_SY_B!AI31/Inv_SY_B!$BZ31-1,"")</f>
        <v>1.8312793756989798E-2</v>
      </c>
      <c r="AJ31" s="177">
        <f>IFERROR(Inv_SY_B!AJ31/Inv_SY_B!$BZ31-1,"")</f>
        <v>4.5562497506914656E-3</v>
      </c>
      <c r="AK31" s="177">
        <f>IFERROR(Inv_SY_B!AK31/Inv_SY_B!$BZ31-1,"")</f>
        <v>1.2626392109042817E-2</v>
      </c>
      <c r="AL31" s="177">
        <f>IFERROR(Inv_SY_B!AL31/Inv_SY_B!$BZ31-1,"")</f>
        <v>2.296464599755943E-2</v>
      </c>
      <c r="AM31" s="177">
        <f>IFERROR(Inv_SY_B!AM31/Inv_SY_B!$BZ31-1,"")</f>
        <v>-2.8054277644734671E-2</v>
      </c>
      <c r="AN31" s="177">
        <f>IFERROR(Inv_SY_B!AN31/Inv_SY_B!$BZ31-1,"")</f>
        <v>-1.806372855544458E-2</v>
      </c>
      <c r="AO31" s="177">
        <f>IFERROR(Inv_SY_B!AO31/Inv_SY_B!$BZ31-1,"")</f>
        <v>-1.5201267861322143E-2</v>
      </c>
      <c r="AP31" s="177">
        <f>IFERROR(Inv_SY_B!AP31/Inv_SY_B!$BZ31-1,"")</f>
        <v>-2.5023436909781593E-2</v>
      </c>
      <c r="AQ31" s="177">
        <f>IFERROR(Inv_SY_B!AQ31/Inv_SY_B!$BZ31-1,"")</f>
        <v>-2.4569196402685511E-2</v>
      </c>
      <c r="AR31" s="177">
        <f>IFERROR(Inv_SY_B!AR31/Inv_SY_B!$BZ31-1,"")</f>
        <v>-2.7844541102647113E-2</v>
      </c>
      <c r="AS31" s="177">
        <f>IFERROR(Inv_SY_B!AS31/Inv_SY_B!$BZ31-1,"")</f>
        <v>6.8777209000530082E-3</v>
      </c>
      <c r="AT31" s="177">
        <f>IFERROR(Inv_SY_B!AT31/Inv_SY_B!$BZ31-1,"")</f>
        <v>2.4087323668021243E-2</v>
      </c>
      <c r="AU31" s="177">
        <f>IFERROR(Inv_SY_B!AU31/Inv_SY_B!$BZ31-1,"")</f>
        <v>1.2683908686529355E-2</v>
      </c>
      <c r="AV31" s="177">
        <f>IFERROR(Inv_SY_B!AV31/Inv_SY_B!$BZ31-1,"")</f>
        <v>1.5769769400135525E-2</v>
      </c>
      <c r="AW31" s="177">
        <f>IFERROR(Inv_SY_B!AW31/Inv_SY_B!$CA31-1,"")</f>
        <v>5.0481721433789595E-2</v>
      </c>
      <c r="AX31" s="177">
        <f>IFERROR(Inv_SY_B!AX31/Inv_SY_B!$CA31-1,"")</f>
        <v>6.2483029294884584E-2</v>
      </c>
      <c r="AY31" s="177">
        <f>IFERROR(Inv_SY_B!AY31/Inv_SY_B!$CA31-1,"")</f>
        <v>8.7650773229095424E-3</v>
      </c>
      <c r="AZ31" s="177">
        <f>IFERROR(Inv_SY_B!AZ31/Inv_SY_B!$CA31-1,"")</f>
        <v>7.4842877842089539E-2</v>
      </c>
      <c r="BA31" s="177">
        <f>IFERROR(Inv_SY_B!BA31/Inv_SY_B!$CA31-1,"")</f>
        <v>7.9676141448989934E-3</v>
      </c>
      <c r="BB31" s="177">
        <f>IFERROR(Inv_SY_B!BB31/Inv_SY_B!$CA31-1,"")</f>
        <v>4.0007716878297739E-2</v>
      </c>
      <c r="BC31" s="177">
        <f>IFERROR(Inv_SY_B!BC31/Inv_SY_B!$CA31-1,"")</f>
        <v>4.0585979820723983E-2</v>
      </c>
      <c r="BD31" s="177">
        <f>IFERROR(Inv_SY_B!BD31/Inv_SY_B!$CA31-1,"")</f>
        <v>5.8142003250695184E-2</v>
      </c>
      <c r="BE31" s="177">
        <f>IFERROR(Inv_SY_B!BE31/Inv_SY_B!$CA31-1,"")</f>
        <v>-1.7999125777324432E-2</v>
      </c>
      <c r="BF31" s="177">
        <f>IFERROR(Inv_SY_B!BF31/Inv_SY_B!$CA31-1,"")</f>
        <v>-3.5758476091785174E-2</v>
      </c>
      <c r="BG31" s="177">
        <f>IFERROR(Inv_SY_B!BG31/Inv_SY_B!$CA31-1,"")</f>
        <v>-1.558981905026291E-2</v>
      </c>
      <c r="BH31" s="177">
        <f>IFERROR(Inv_SY_B!BH31/Inv_SY_B!$CA31-1,"")</f>
        <v>-1.2302973704854892E-2</v>
      </c>
      <c r="BI31" s="177">
        <f>IFERROR(Inv_SY_B!BI31/Inv_SY_B!$CA31-1,"")</f>
        <v>9.0621421373018318E-3</v>
      </c>
      <c r="BJ31" s="177">
        <f>IFERROR(Inv_SY_B!BJ31/Inv_SY_B!$CA31-1,"")</f>
        <v>1.1701529560080193E-2</v>
      </c>
      <c r="BK31" s="177">
        <f>IFERROR(Inv_SY_B!BK31/Inv_SY_B!$CA31-1,"")</f>
        <v>2.3152945511334178E-2</v>
      </c>
      <c r="BL31" s="177">
        <f>IFERROR(Inv_SY_B!BL31/Inv_SY_B!$CA31-1,"")</f>
        <v>1.2155880385221085E-2</v>
      </c>
      <c r="BM31" s="177">
        <f>IFERROR(Inv_SY_B!BM31/Inv_SY_B!$CA31-1,"")</f>
        <v>3.8138303270394136E-2</v>
      </c>
      <c r="BN31" s="177">
        <f>IFERROR(Inv_SY_B!BN31/Inv_SY_B!$CA31-1,"")</f>
        <v>3.5195787407866552E-2</v>
      </c>
      <c r="BO31" s="177">
        <f>IFERROR(Inv_SY_B!BO31/Inv_SY_B!$CA31-1,"")</f>
        <v>2.3569810294042481E-2</v>
      </c>
      <c r="BP31" s="177">
        <f>IFERROR(Inv_SY_B!BP31/Inv_SY_B!$CA31-1,"")</f>
        <v>2.9977551679425174E-2</v>
      </c>
      <c r="BQ31" s="177">
        <f>IFERROR(Inv_SY_B!BQ31/Inv_SY_B!$CA31-1,"")</f>
        <v>6.0770009132398162E-3</v>
      </c>
      <c r="BR31" s="177">
        <f>IFERROR(Inv_SY_B!BR31/Inv_SY_B!$CA31-1,"")</f>
        <v>5.9807892873937174E-2</v>
      </c>
      <c r="BS31" s="177">
        <f>IFERROR(Inv_SY_B!BS31/Inv_SY_B!$CA31-1,"")</f>
        <v>-9.1421989483599919E-3</v>
      </c>
      <c r="BT31" s="177">
        <f>IFERROR(Inv_SY_B!BT31/Inv_SY_B!$CA31-1,"")</f>
        <v>3.1021255575260476E-2</v>
      </c>
      <c r="BU31" s="177">
        <f>IFERROR(Inv_SY_B!BU31/Inv_SY_B!$CA31-1,"")</f>
        <v>-3.4596906045153863E-2</v>
      </c>
      <c r="BV31" s="177">
        <f>IFERROR(Inv_SY_B!BV31/Inv_SY_B!$CA31-1,"")</f>
        <v>-0.38738520265236154</v>
      </c>
      <c r="BW31" s="177">
        <f>IFERROR(Inv_SY_B!BW31/Inv_SY_B!$CA31-1,"")</f>
        <v>-3.2396322425178981E-2</v>
      </c>
      <c r="BX31" s="177">
        <f>IFERROR(Inv_SY_B!BX31/Inv_SY_B!$CA31-1,"")</f>
        <v>-7.7965094901110032E-2</v>
      </c>
    </row>
    <row r="32" spans="1:76">
      <c r="A32"/>
      <c r="B32" s="173">
        <f>B31+1</f>
        <v>45865</v>
      </c>
      <c r="C32" s="177">
        <f>IFERROR(Inv_SY_B!C32/Inv_SY_B!$BY32-1,"")</f>
        <v>-2.6787010396399635E-3</v>
      </c>
      <c r="D32" s="177">
        <f>IFERROR(Inv_SY_B!D32/Inv_SY_B!$BY32-1,"")</f>
        <v>-5.1383885576284927E-3</v>
      </c>
      <c r="E32" s="177">
        <f>IFERROR(Inv_SY_B!E32/Inv_SY_B!$BY32-1,"")</f>
        <v>-9.5986219235805192E-3</v>
      </c>
      <c r="F32" s="177">
        <f>IFERROR(Inv_SY_B!F32/Inv_SY_B!$BY32-1,"")</f>
        <v>-9.7343924900972212E-3</v>
      </c>
      <c r="G32" s="177">
        <f>IFERROR(Inv_SY_B!G32/Inv_SY_B!$BY32-1,"")</f>
        <v>-6.3483126518646404E-3</v>
      </c>
      <c r="H32" s="177">
        <f>IFERROR(Inv_SY_B!H32/Inv_SY_B!$BY32-1,"")</f>
        <v>-1.3103717390908987E-2</v>
      </c>
      <c r="I32" s="177">
        <f>IFERROR(Inv_SY_B!I32/Inv_SY_B!$BY32-1,"")</f>
        <v>5.0842136424966711E-4</v>
      </c>
      <c r="J32" s="177">
        <f>IFERROR(Inv_SY_B!J32/Inv_SY_B!$BY32-1,"")</f>
        <v>9.8667175191864409E-3</v>
      </c>
      <c r="K32" s="177">
        <f>IFERROR(Inv_SY_B!K32/Inv_SY_B!$BY32-1,"")</f>
        <v>-2.5248442240701663E-2</v>
      </c>
      <c r="L32" s="177">
        <f>IFERROR(Inv_SY_B!L32/Inv_SY_B!$BY32-1,"")</f>
        <v>1.2025838993447113E-2</v>
      </c>
      <c r="M32" s="177">
        <f>IFERROR(Inv_SY_B!M32/Inv_SY_B!$BY32-1,"")</f>
        <v>3.2134924308536039E-2</v>
      </c>
      <c r="N32" s="177">
        <f>IFERROR(Inv_SY_B!N32/Inv_SY_B!$BY32-1,"")</f>
        <v>-1.3270083796634968E-2</v>
      </c>
      <c r="O32" s="177">
        <f>IFERROR(Inv_SY_B!O32/Inv_SY_B!$BY32-1,"")</f>
        <v>1.4082230484024905E-2</v>
      </c>
      <c r="P32" s="177">
        <f>IFERROR(Inv_SY_B!P32/Inv_SY_B!$BY32-1,"")</f>
        <v>-5.7091104359935363E-3</v>
      </c>
      <c r="Q32" s="177">
        <f>IFERROR(Inv_SY_B!Q32/Inv_SY_B!$BY32-1,"")</f>
        <v>9.0162651796621418E-4</v>
      </c>
      <c r="R32" s="177">
        <f>IFERROR(Inv_SY_B!R32/Inv_SY_B!$BY32-1,"")</f>
        <v>-4.7329531005976255E-3</v>
      </c>
      <c r="S32" s="177">
        <f>IFERROR(Inv_SY_B!S32/Inv_SY_B!$BY32-1,"")</f>
        <v>-4.383317672998821E-3</v>
      </c>
      <c r="T32" s="177">
        <f>IFERROR(Inv_SY_B!T32/Inv_SY_B!$BY32-1,"")</f>
        <v>-0.10085631503455905</v>
      </c>
      <c r="U32" s="177">
        <f>IFERROR(Inv_SY_B!U32/Inv_SY_B!$BY32-1,"")</f>
        <v>-1.850880882055983E-3</v>
      </c>
      <c r="V32" s="177">
        <f>IFERROR(Inv_SY_B!V32/Inv_SY_B!$BY32-1,"")</f>
        <v>3.5251434989342911E-3</v>
      </c>
      <c r="W32" s="177">
        <f>IFERROR(Inv_SY_B!W32/Inv_SY_B!$BY32-1,"")</f>
        <v>-2.4536628425113616E-3</v>
      </c>
      <c r="X32" s="177">
        <f>IFERROR(Inv_SY_B!X32/Inv_SY_B!$BY32-1,"")</f>
        <v>1.06174014599838E-2</v>
      </c>
      <c r="Y32" s="177">
        <f>IFERROR(Inv_SY_B!Y32/Inv_SY_B!$BY32-1,"")</f>
        <v>2.4477278979812889E-2</v>
      </c>
      <c r="Z32" s="177">
        <f>IFERROR(Inv_SY_B!Z32/Inv_SY_B!$BY32-1,"")</f>
        <v>2.9614745770344841E-2</v>
      </c>
      <c r="AA32" s="177">
        <f>IFERROR(Inv_SY_B!AA32/Inv_SY_B!$BY32-1,"")</f>
        <v>2.6261163728594106E-2</v>
      </c>
      <c r="AB32" s="177">
        <f>IFERROR(Inv_SY_B!AB32/Inv_SY_B!$BY32-1,"")</f>
        <v>6.7005166785010228E-3</v>
      </c>
      <c r="AC32" s="177">
        <f>IFERROR(Inv_SY_B!AC32/Inv_SY_B!$BY32-1,"")</f>
        <v>2.121690574240187E-2</v>
      </c>
      <c r="AD32" s="177">
        <f>IFERROR(Inv_SY_B!AD32/Inv_SY_B!$BY32-1,"")</f>
        <v>1.3173985013795075E-2</v>
      </c>
      <c r="AE32" s="177">
        <f>IFERROR(Inv_SY_B!AE32/Inv_SY_B!$BZ32-1,"")</f>
        <v>4.2823525746189528E-3</v>
      </c>
      <c r="AF32" s="177">
        <f>IFERROR(Inv_SY_B!AF32/Inv_SY_B!$BZ32-1,"")</f>
        <v>-6.5183984370460468E-3</v>
      </c>
      <c r="AG32" s="177">
        <f>IFERROR(Inv_SY_B!AG32/Inv_SY_B!$BZ32-1,"")</f>
        <v>9.4898600452282267E-3</v>
      </c>
      <c r="AH32" s="177">
        <f>IFERROR(Inv_SY_B!AH32/Inv_SY_B!$BZ32-1,"")</f>
        <v>1.7941153334377624E-4</v>
      </c>
      <c r="AI32" s="177">
        <f>IFERROR(Inv_SY_B!AI32/Inv_SY_B!$BZ32-1,"")</f>
        <v>1.4060716737330781E-2</v>
      </c>
      <c r="AJ32" s="177">
        <f>IFERROR(Inv_SY_B!AJ32/Inv_SY_B!$BZ32-1,"")</f>
        <v>-1.0848776316754183E-3</v>
      </c>
      <c r="AK32" s="177">
        <f>IFERROR(Inv_SY_B!AK32/Inv_SY_B!$BZ32-1,"")</f>
        <v>7.3580065366747327E-3</v>
      </c>
      <c r="AL32" s="177">
        <f>IFERROR(Inv_SY_B!AL32/Inv_SY_B!$BZ32-1,"")</f>
        <v>1.4335947266988613E-2</v>
      </c>
      <c r="AM32" s="177">
        <f>IFERROR(Inv_SY_B!AM32/Inv_SY_B!$BZ32-1,"")</f>
        <v>-5.039138827609535E-3</v>
      </c>
      <c r="AN32" s="177">
        <f>IFERROR(Inv_SY_B!AN32/Inv_SY_B!$BZ32-1,"")</f>
        <v>4.3316015961725185E-4</v>
      </c>
      <c r="AO32" s="177">
        <f>IFERROR(Inv_SY_B!AO32/Inv_SY_B!$BZ32-1,"")</f>
        <v>1.049420986009153E-2</v>
      </c>
      <c r="AP32" s="177">
        <f>IFERROR(Inv_SY_B!AP32/Inv_SY_B!$BZ32-1,"")</f>
        <v>-1.2484317166659986E-3</v>
      </c>
      <c r="AQ32" s="177">
        <f>IFERROR(Inv_SY_B!AQ32/Inv_SY_B!$BZ32-1,"")</f>
        <v>-2.9285767581741506E-3</v>
      </c>
      <c r="AR32" s="177">
        <f>IFERROR(Inv_SY_B!AR32/Inv_SY_B!$BZ32-1,"")</f>
        <v>-7.7287857804869686E-3</v>
      </c>
      <c r="AS32" s="177">
        <f>IFERROR(Inv_SY_B!AS32/Inv_SY_B!$BZ32-1,"")</f>
        <v>-7.1480429396237888E-3</v>
      </c>
      <c r="AT32" s="177">
        <f>IFERROR(Inv_SY_B!AT32/Inv_SY_B!$BZ32-1,"")</f>
        <v>-1.7763560813327528E-3</v>
      </c>
      <c r="AU32" s="177">
        <f>IFERROR(Inv_SY_B!AU32/Inv_SY_B!$BZ32-1,"")</f>
        <v>-1.3926656520501846E-2</v>
      </c>
      <c r="AV32" s="177">
        <f>IFERROR(Inv_SY_B!AV32/Inv_SY_B!$BZ32-1,"")</f>
        <v>-1.323440002077847E-2</v>
      </c>
      <c r="AW32" s="177">
        <f>IFERROR(Inv_SY_B!AW32/Inv_SY_B!$CA32-1,"")</f>
        <v>-2.8778470359905883E-3</v>
      </c>
      <c r="AX32" s="177">
        <f>IFERROR(Inv_SY_B!AX32/Inv_SY_B!$CA32-1,"")</f>
        <v>5.2526977838347477E-3</v>
      </c>
      <c r="AY32" s="177">
        <f>IFERROR(Inv_SY_B!AY32/Inv_SY_B!$CA32-1,"")</f>
        <v>-4.4936863226784585E-2</v>
      </c>
      <c r="AZ32" s="177">
        <f>IFERROR(Inv_SY_B!AZ32/Inv_SY_B!$CA32-1,"")</f>
        <v>2.4702014323231269E-2</v>
      </c>
      <c r="BA32" s="177">
        <f>IFERROR(Inv_SY_B!BA32/Inv_SY_B!$CA32-1,"")</f>
        <v>-3.6565936148346023E-2</v>
      </c>
      <c r="BB32" s="177">
        <f>IFERROR(Inv_SY_B!BB32/Inv_SY_B!$CA32-1,"")</f>
        <v>-2.4013479386741921E-4</v>
      </c>
      <c r="BC32" s="177">
        <f>IFERROR(Inv_SY_B!BC32/Inv_SY_B!$CA32-1,"")</f>
        <v>1.4081583984326684E-3</v>
      </c>
      <c r="BD32" s="177">
        <f>IFERROR(Inv_SY_B!BD32/Inv_SY_B!$CA32-1,"")</f>
        <v>1.2197553847825171E-2</v>
      </c>
      <c r="BE32" s="177">
        <f>IFERROR(Inv_SY_B!BE32/Inv_SY_B!$CA32-1,"")</f>
        <v>-1.4159823235332936E-2</v>
      </c>
      <c r="BF32" s="177">
        <f>IFERROR(Inv_SY_B!BF32/Inv_SY_B!$CA32-1,"")</f>
        <v>-1.8577322249569428E-2</v>
      </c>
      <c r="BG32" s="177">
        <f>IFERROR(Inv_SY_B!BG32/Inv_SY_B!$CA32-1,"")</f>
        <v>-8.7617380060444061E-3</v>
      </c>
      <c r="BH32" s="177">
        <f>IFERROR(Inv_SY_B!BH32/Inv_SY_B!$CA32-1,"")</f>
        <v>-5.0823737105298861E-3</v>
      </c>
      <c r="BI32" s="177">
        <f>IFERROR(Inv_SY_B!BI32/Inv_SY_B!$CA32-1,"")</f>
        <v>2.1313022616350707E-2</v>
      </c>
      <c r="BJ32" s="177">
        <f>IFERROR(Inv_SY_B!BJ32/Inv_SY_B!$CA32-1,"")</f>
        <v>2.5746516240401807E-2</v>
      </c>
      <c r="BK32" s="177">
        <f>IFERROR(Inv_SY_B!BK32/Inv_SY_B!$CA32-1,"")</f>
        <v>3.097044255501169E-2</v>
      </c>
      <c r="BL32" s="177">
        <f>IFERROR(Inv_SY_B!BL32/Inv_SY_B!$CA32-1,"")</f>
        <v>1.793607937938102E-2</v>
      </c>
      <c r="BM32" s="177">
        <f>IFERROR(Inv_SY_B!BM32/Inv_SY_B!$CA32-1,"")</f>
        <v>4.1939612001689053E-3</v>
      </c>
      <c r="BN32" s="177">
        <f>IFERROR(Inv_SY_B!BN32/Inv_SY_B!$CA32-1,"")</f>
        <v>-2.0186356483249401E-3</v>
      </c>
      <c r="BO32" s="177">
        <f>IFERROR(Inv_SY_B!BO32/Inv_SY_B!$CA32-1,"")</f>
        <v>-6.2130989836789441E-3</v>
      </c>
      <c r="BP32" s="177">
        <f>IFERROR(Inv_SY_B!BP32/Inv_SY_B!$CA32-1,"")</f>
        <v>1.3670131173475486E-3</v>
      </c>
      <c r="BQ32" s="177">
        <f>IFERROR(Inv_SY_B!BQ32/Inv_SY_B!$CA32-1,"")</f>
        <v>1.5859683122159574E-2</v>
      </c>
      <c r="BR32" s="177">
        <f>IFERROR(Inv_SY_B!BR32/Inv_SY_B!$CA32-1,"")</f>
        <v>7.2402504015971925E-2</v>
      </c>
      <c r="BS32" s="177">
        <f>IFERROR(Inv_SY_B!BS32/Inv_SY_B!$CA32-1,"")</f>
        <v>9.5381250237223103E-3</v>
      </c>
      <c r="BT32" s="177">
        <f>IFERROR(Inv_SY_B!BT32/Inv_SY_B!$CA32-1,"")</f>
        <v>4.514019666990432E-2</v>
      </c>
      <c r="BU32" s="177">
        <f>IFERROR(Inv_SY_B!BU32/Inv_SY_B!$CA32-1,"")</f>
        <v>-8.5525069924811126E-3</v>
      </c>
      <c r="BV32" s="177">
        <f>IFERROR(Inv_SY_B!BV32/Inv_SY_B!$CA32-1,"")</f>
        <v>-6.1167430847598903E-2</v>
      </c>
      <c r="BW32" s="177">
        <f>IFERROR(Inv_SY_B!BW32/Inv_SY_B!$CA32-1,"")</f>
        <v>-1.1429394596802589E-2</v>
      </c>
      <c r="BX32" s="177">
        <f>IFERROR(Inv_SY_B!BX32/Inv_SY_B!$CA32-1,"")</f>
        <v>-6.7444862818394791E-2</v>
      </c>
    </row>
    <row r="33" spans="1:76">
      <c r="A33"/>
      <c r="B33" s="173">
        <f t="shared" si="1"/>
        <v>45866</v>
      </c>
      <c r="C33" s="177">
        <f>IFERROR(Inv_SY_B!C33/Inv_SY_B!$BY33-1,"")</f>
        <v>-6.3038371551964456E-3</v>
      </c>
      <c r="D33" s="177">
        <f>IFERROR(Inv_SY_B!D33/Inv_SY_B!$BY33-1,"")</f>
        <v>1.7569542166648855E-3</v>
      </c>
      <c r="E33" s="177">
        <f>IFERROR(Inv_SY_B!E33/Inv_SY_B!$BY33-1,"")</f>
        <v>-5.2950926050117086E-3</v>
      </c>
      <c r="F33" s="177">
        <f>IFERROR(Inv_SY_B!F33/Inv_SY_B!$BY33-1,"")</f>
        <v>-2.4960244012753097E-2</v>
      </c>
      <c r="G33" s="177">
        <f>IFERROR(Inv_SY_B!G33/Inv_SY_B!$BY33-1,"")</f>
        <v>-2.4611446982730101E-2</v>
      </c>
      <c r="H33" s="177">
        <f>IFERROR(Inv_SY_B!H33/Inv_SY_B!$BY33-1,"")</f>
        <v>-2.9421545172635732E-2</v>
      </c>
      <c r="I33" s="177">
        <f>IFERROR(Inv_SY_B!I33/Inv_SY_B!$BY33-1,"")</f>
        <v>-1.0293461688835603E-2</v>
      </c>
      <c r="J33" s="177">
        <f>IFERROR(Inv_SY_B!J33/Inv_SY_B!$BY33-1,"")</f>
        <v>1.2849469789590895E-3</v>
      </c>
      <c r="K33" s="177">
        <f>IFERROR(Inv_SY_B!K33/Inv_SY_B!$BY33-1,"")</f>
        <v>-2.7717384399935541E-2</v>
      </c>
      <c r="L33" s="177">
        <f>IFERROR(Inv_SY_B!L33/Inv_SY_B!$BY33-1,"")</f>
        <v>3.3993863513708256E-3</v>
      </c>
      <c r="M33" s="177">
        <f>IFERROR(Inv_SY_B!M33/Inv_SY_B!$BY33-1,"")</f>
        <v>2.8809254640265847E-2</v>
      </c>
      <c r="N33" s="177">
        <f>IFERROR(Inv_SY_B!N33/Inv_SY_B!$BY33-1,"")</f>
        <v>-9.0732700765472352E-3</v>
      </c>
      <c r="O33" s="177">
        <f>IFERROR(Inv_SY_B!O33/Inv_SY_B!$BY33-1,"")</f>
        <v>1.3091379242937018E-2</v>
      </c>
      <c r="P33" s="177">
        <f>IFERROR(Inv_SY_B!P33/Inv_SY_B!$BY33-1,"")</f>
        <v>-4.2561753297991611E-3</v>
      </c>
      <c r="Q33" s="177">
        <f>IFERROR(Inv_SY_B!Q33/Inv_SY_B!$BY33-1,"")</f>
        <v>4.3496213816029972E-4</v>
      </c>
      <c r="R33" s="177">
        <f>IFERROR(Inv_SY_B!R33/Inv_SY_B!$BY33-1,"")</f>
        <v>-3.9790354702584629E-5</v>
      </c>
      <c r="S33" s="177">
        <f>IFERROR(Inv_SY_B!S33/Inv_SY_B!$BY33-1,"")</f>
        <v>1.0602225059392456E-2</v>
      </c>
      <c r="T33" s="177">
        <f>IFERROR(Inv_SY_B!T33/Inv_SY_B!$BY33-1,"")</f>
        <v>-8.6259300646692405E-2</v>
      </c>
      <c r="U33" s="177">
        <f>IFERROR(Inv_SY_B!U33/Inv_SY_B!$BY33-1,"")</f>
        <v>8.5354284274958836E-3</v>
      </c>
      <c r="V33" s="177">
        <f>IFERROR(Inv_SY_B!V33/Inv_SY_B!$BY33-1,"")</f>
        <v>1.53803046394001E-2</v>
      </c>
      <c r="W33" s="177">
        <f>IFERROR(Inv_SY_B!W33/Inv_SY_B!$BY33-1,"")</f>
        <v>2.5240534212485066E-3</v>
      </c>
      <c r="X33" s="177">
        <f>IFERROR(Inv_SY_B!X33/Inv_SY_B!$BY33-1,"")</f>
        <v>1.3476661667162437E-2</v>
      </c>
      <c r="Y33" s="177">
        <f>IFERROR(Inv_SY_B!Y33/Inv_SY_B!$BY33-1,"")</f>
        <v>2.12208163096963E-2</v>
      </c>
      <c r="Z33" s="177">
        <f>IFERROR(Inv_SY_B!Z33/Inv_SY_B!$BY33-1,"")</f>
        <v>2.3503102720358049E-2</v>
      </c>
      <c r="AA33" s="177">
        <f>IFERROR(Inv_SY_B!AA33/Inv_SY_B!$BY33-1,"")</f>
        <v>3.3365419548651465E-2</v>
      </c>
      <c r="AB33" s="177">
        <f>IFERROR(Inv_SY_B!AB33/Inv_SY_B!$BY33-1,"")</f>
        <v>2.0756811902051364E-2</v>
      </c>
      <c r="AC33" s="177">
        <f>IFERROR(Inv_SY_B!AC33/Inv_SY_B!$BY33-1,"")</f>
        <v>2.0378021352596809E-2</v>
      </c>
      <c r="AD33" s="177">
        <f>IFERROR(Inv_SY_B!AD33/Inv_SY_B!$BY33-1,"")</f>
        <v>9.7118198084280571E-3</v>
      </c>
      <c r="AE33" s="177">
        <f>IFERROR(Inv_SY_B!AE33/Inv_SY_B!$BZ33-1,"")</f>
        <v>7.8393557124076807E-3</v>
      </c>
      <c r="AF33" s="177">
        <f>IFERROR(Inv_SY_B!AF33/Inv_SY_B!$BZ33-1,"")</f>
        <v>-5.8015250422553954E-3</v>
      </c>
      <c r="AG33" s="177">
        <f>IFERROR(Inv_SY_B!AG33/Inv_SY_B!$BZ33-1,"")</f>
        <v>8.3063105013183591E-3</v>
      </c>
      <c r="AH33" s="177">
        <f>IFERROR(Inv_SY_B!AH33/Inv_SY_B!$BZ33-1,"")</f>
        <v>2.3827313582636123E-5</v>
      </c>
      <c r="AI33" s="177">
        <f>IFERROR(Inv_SY_B!AI33/Inv_SY_B!$BZ33-1,"")</f>
        <v>1.2704988239654824E-2</v>
      </c>
      <c r="AJ33" s="177">
        <f>IFERROR(Inv_SY_B!AJ33/Inv_SY_B!$BZ33-1,"")</f>
        <v>-3.4070443401008621E-3</v>
      </c>
      <c r="AK33" s="177">
        <f>IFERROR(Inv_SY_B!AK33/Inv_SY_B!$BZ33-1,"")</f>
        <v>6.0977620376834185E-3</v>
      </c>
      <c r="AL33" s="177">
        <f>IFERROR(Inv_SY_B!AL33/Inv_SY_B!$BZ33-1,"")</f>
        <v>1.4825365043945826E-2</v>
      </c>
      <c r="AM33" s="177">
        <f>IFERROR(Inv_SY_B!AM33/Inv_SY_B!$BZ33-1,"")</f>
        <v>-1.1223548951194373E-2</v>
      </c>
      <c r="AN33" s="177">
        <f>IFERROR(Inv_SY_B!AN33/Inv_SY_B!$BZ33-1,"")</f>
        <v>-3.2371793220202782E-3</v>
      </c>
      <c r="AO33" s="177">
        <f>IFERROR(Inv_SY_B!AO33/Inv_SY_B!$BZ33-1,"")</f>
        <v>5.0044166443341531E-4</v>
      </c>
      <c r="AP33" s="177">
        <f>IFERROR(Inv_SY_B!AP33/Inv_SY_B!$BZ33-1,"")</f>
        <v>-5.4094718611554793E-3</v>
      </c>
      <c r="AQ33" s="177">
        <f>IFERROR(Inv_SY_B!AQ33/Inv_SY_B!$BZ33-1,"")</f>
        <v>-6.7850600168946062E-3</v>
      </c>
      <c r="AR33" s="177">
        <f>IFERROR(Inv_SY_B!AR33/Inv_SY_B!$BZ33-1,"")</f>
        <v>-1.0789762979756978E-2</v>
      </c>
      <c r="AS33" s="177">
        <f>IFERROR(Inv_SY_B!AS33/Inv_SY_B!$BZ33-1,"")</f>
        <v>-2.0000610873143199E-3</v>
      </c>
      <c r="AT33" s="177">
        <f>IFERROR(Inv_SY_B!AT33/Inv_SY_B!$BZ33-1,"")</f>
        <v>8.789127651809503E-3</v>
      </c>
      <c r="AU33" s="177">
        <f>IFERROR(Inv_SY_B!AU33/Inv_SY_B!$BZ33-1,"")</f>
        <v>-4.3403241030921524E-3</v>
      </c>
      <c r="AV33" s="177">
        <f>IFERROR(Inv_SY_B!AV33/Inv_SY_B!$BZ33-1,"")</f>
        <v>-6.0932004610504409E-3</v>
      </c>
      <c r="AW33" s="177">
        <f>IFERROR(Inv_SY_B!AW33/Inv_SY_B!$CA33-1,"")</f>
        <v>6.5288699246945914E-3</v>
      </c>
      <c r="AX33" s="177">
        <f>IFERROR(Inv_SY_B!AX33/Inv_SY_B!$CA33-1,"")</f>
        <v>1.5057434967462813E-2</v>
      </c>
      <c r="AY33" s="177">
        <f>IFERROR(Inv_SY_B!AY33/Inv_SY_B!$CA33-1,"")</f>
        <v>-3.6452818848935808E-2</v>
      </c>
      <c r="AZ33" s="177">
        <f>IFERROR(Inv_SY_B!AZ33/Inv_SY_B!$CA33-1,"")</f>
        <v>3.096112327143774E-2</v>
      </c>
      <c r="BA33" s="177">
        <f>IFERROR(Inv_SY_B!BA33/Inv_SY_B!$CA33-1,"")</f>
        <v>-3.2259056442500933E-2</v>
      </c>
      <c r="BB33" s="177">
        <f>IFERROR(Inv_SY_B!BB33/Inv_SY_B!$CA33-1,"")</f>
        <v>9.9435908917300253E-4</v>
      </c>
      <c r="BC33" s="177">
        <f>IFERROR(Inv_SY_B!BC33/Inv_SY_B!$CA33-1,"")</f>
        <v>3.045923870286682E-3</v>
      </c>
      <c r="BD33" s="177">
        <f>IFERROR(Inv_SY_B!BD33/Inv_SY_B!$CA33-1,"")</f>
        <v>1.8331168561739997E-2</v>
      </c>
      <c r="BE33" s="177">
        <f>IFERROR(Inv_SY_B!BE33/Inv_SY_B!$CA33-1,"")</f>
        <v>-7.9898386721740655E-3</v>
      </c>
      <c r="BF33" s="177">
        <f>IFERROR(Inv_SY_B!BF33/Inv_SY_B!$CA33-1,"")</f>
        <v>-1.3369180454116059E-2</v>
      </c>
      <c r="BG33" s="177">
        <f>IFERROR(Inv_SY_B!BG33/Inv_SY_B!$CA33-1,"")</f>
        <v>-5.4331557266665831E-3</v>
      </c>
      <c r="BH33" s="177">
        <f>IFERROR(Inv_SY_B!BH33/Inv_SY_B!$CA33-1,"")</f>
        <v>1.010745727590967E-3</v>
      </c>
      <c r="BI33" s="177">
        <f>IFERROR(Inv_SY_B!BI33/Inv_SY_B!$CA33-1,"")</f>
        <v>1.5675686378592735E-2</v>
      </c>
      <c r="BJ33" s="177">
        <f>IFERROR(Inv_SY_B!BJ33/Inv_SY_B!$CA33-1,"")</f>
        <v>2.1632728527440692E-2</v>
      </c>
      <c r="BK33" s="177">
        <f>IFERROR(Inv_SY_B!BK33/Inv_SY_B!$CA33-1,"")</f>
        <v>2.8592977039845424E-2</v>
      </c>
      <c r="BL33" s="177">
        <f>IFERROR(Inv_SY_B!BL33/Inv_SY_B!$CA33-1,"")</f>
        <v>1.7505044125988745E-2</v>
      </c>
      <c r="BM33" s="177">
        <f>IFERROR(Inv_SY_B!BM33/Inv_SY_B!$CA33-1,"")</f>
        <v>1.2978525684740561E-2</v>
      </c>
      <c r="BN33" s="177">
        <f>IFERROR(Inv_SY_B!BN33/Inv_SY_B!$CA33-1,"")</f>
        <v>6.3860689683723493E-3</v>
      </c>
      <c r="BO33" s="177">
        <f>IFERROR(Inv_SY_B!BO33/Inv_SY_B!$CA33-1,"")</f>
        <v>-2.5860265294860296E-3</v>
      </c>
      <c r="BP33" s="177">
        <f>IFERROR(Inv_SY_B!BP33/Inv_SY_B!$CA33-1,"")</f>
        <v>5.3460712309456593E-3</v>
      </c>
      <c r="BQ33" s="177">
        <f>IFERROR(Inv_SY_B!BQ33/Inv_SY_B!$CA33-1,"")</f>
        <v>1.0320003247324072E-2</v>
      </c>
      <c r="BR33" s="177">
        <f>IFERROR(Inv_SY_B!BR33/Inv_SY_B!$CA33-1,"")</f>
        <v>6.6643050253414549E-2</v>
      </c>
      <c r="BS33" s="177">
        <f>IFERROR(Inv_SY_B!BS33/Inv_SY_B!$CA33-1,"")</f>
        <v>3.9257292985206416E-3</v>
      </c>
      <c r="BT33" s="177">
        <f>IFERROR(Inv_SY_B!BT33/Inv_SY_B!$CA33-1,"")</f>
        <v>4.0003898161386608E-2</v>
      </c>
      <c r="BU33" s="177">
        <f>IFERROR(Inv_SY_B!BU33/Inv_SY_B!$CA33-1,"")</f>
        <v>-1.5258567011962154E-2</v>
      </c>
      <c r="BV33" s="177">
        <f>IFERROR(Inv_SY_B!BV33/Inv_SY_B!$CA33-1,"")</f>
        <v>-0.10184408384188381</v>
      </c>
      <c r="BW33" s="177">
        <f>IFERROR(Inv_SY_B!BW33/Inv_SY_B!$CA33-1,"")</f>
        <v>-1.7547984062890931E-2</v>
      </c>
      <c r="BX33" s="177">
        <f>IFERROR(Inv_SY_B!BX33/Inv_SY_B!$CA33-1,"")</f>
        <v>-7.2198696738341006E-2</v>
      </c>
    </row>
    <row r="34" spans="1:76">
      <c r="A34"/>
      <c r="B34" s="173">
        <f t="shared" si="1"/>
        <v>45867</v>
      </c>
      <c r="C34" s="177">
        <f>IFERROR(Inv_SY_B!C34/Inv_SY_B!$BY34-1,"")</f>
        <v>-3.2401265442445149E-2</v>
      </c>
      <c r="D34" s="177">
        <f>IFERROR(Inv_SY_B!D34/Inv_SY_B!$BY34-1,"")</f>
        <v>-2.3419473241105382E-2</v>
      </c>
      <c r="E34" s="177">
        <f>IFERROR(Inv_SY_B!E34/Inv_SY_B!$BY34-1,"")</f>
        <v>-3.427906943025838E-2</v>
      </c>
      <c r="F34" s="177">
        <f>IFERROR(Inv_SY_B!F34/Inv_SY_B!$BY34-1,"")</f>
        <v>-4.9385520207527844E-2</v>
      </c>
      <c r="G34" s="177">
        <f>IFERROR(Inv_SY_B!G34/Inv_SY_B!$BY34-1,"")</f>
        <v>-4.5783195256412501E-2</v>
      </c>
      <c r="H34" s="177">
        <f>IFERROR(Inv_SY_B!H34/Inv_SY_B!$BY34-1,"")</f>
        <v>-5.3419786442738149E-2</v>
      </c>
      <c r="I34" s="177">
        <f>IFERROR(Inv_SY_B!I34/Inv_SY_B!$BY34-1,"")</f>
        <v>-3.7627525475350421E-2</v>
      </c>
      <c r="J34" s="177">
        <f>IFERROR(Inv_SY_B!J34/Inv_SY_B!$BY34-1,"")</f>
        <v>-2.6451479399210553E-2</v>
      </c>
      <c r="K34" s="177">
        <f>IFERROR(Inv_SY_B!K34/Inv_SY_B!$BY34-1,"")</f>
        <v>-4.8345860537889362E-2</v>
      </c>
      <c r="L34" s="177">
        <f>IFERROR(Inv_SY_B!L34/Inv_SY_B!$BY34-1,"")</f>
        <v>-1.4347354712140215E-2</v>
      </c>
      <c r="M34" s="177">
        <f>IFERROR(Inv_SY_B!M34/Inv_SY_B!$BY34-1,"")</f>
        <v>1.0325467400209121E-2</v>
      </c>
      <c r="N34" s="177">
        <f>IFERROR(Inv_SY_B!N34/Inv_SY_B!$BY34-1,"")</f>
        <v>-2.965318988974941E-2</v>
      </c>
      <c r="O34" s="177">
        <f>IFERROR(Inv_SY_B!O34/Inv_SY_B!$BY34-1,"")</f>
        <v>-5.9261274177403456E-3</v>
      </c>
      <c r="P34" s="177">
        <f>IFERROR(Inv_SY_B!P34/Inv_SY_B!$BY34-1,"")</f>
        <v>-1.4523381734877439E-2</v>
      </c>
      <c r="Q34" s="177">
        <f>IFERROR(Inv_SY_B!Q34/Inv_SY_B!$BY34-1,"")</f>
        <v>-1.7959687662731372E-2</v>
      </c>
      <c r="R34" s="177">
        <f>IFERROR(Inv_SY_B!R34/Inv_SY_B!$BY34-1,"")</f>
        <v>-2.1159697948363476E-2</v>
      </c>
      <c r="S34" s="177">
        <f>IFERROR(Inv_SY_B!S34/Inv_SY_B!$BY34-1,"")</f>
        <v>2.7717859141488166E-2</v>
      </c>
      <c r="T34" s="177">
        <f>IFERROR(Inv_SY_B!T34/Inv_SY_B!$BY34-1,"")</f>
        <v>-6.4502998674052625E-2</v>
      </c>
      <c r="U34" s="177">
        <f>IFERROR(Inv_SY_B!U34/Inv_SY_B!$BY34-1,"")</f>
        <v>2.0404876325900378E-2</v>
      </c>
      <c r="V34" s="177">
        <f>IFERROR(Inv_SY_B!V34/Inv_SY_B!$BY34-1,"")</f>
        <v>2.7935012009711047E-2</v>
      </c>
      <c r="W34" s="177">
        <f>IFERROR(Inv_SY_B!W34/Inv_SY_B!$BY34-1,"")</f>
        <v>4.4196738124263835E-2</v>
      </c>
      <c r="X34" s="177">
        <f>IFERROR(Inv_SY_B!X34/Inv_SY_B!$BY34-1,"")</f>
        <v>4.7760559800161806E-2</v>
      </c>
      <c r="Y34" s="177">
        <f>IFERROR(Inv_SY_B!Y34/Inv_SY_B!$BY34-1,"")</f>
        <v>6.2789734985789991E-2</v>
      </c>
      <c r="Z34" s="177">
        <f>IFERROR(Inv_SY_B!Z34/Inv_SY_B!$BY34-1,"")</f>
        <v>6.2683953672684423E-2</v>
      </c>
      <c r="AA34" s="177">
        <f>IFERROR(Inv_SY_B!AA34/Inv_SY_B!$BY34-1,"")</f>
        <v>6.5911547727665054E-2</v>
      </c>
      <c r="AB34" s="177">
        <f>IFERROR(Inv_SY_B!AB34/Inv_SY_B!$BY34-1,"")</f>
        <v>5.0852079554166707E-2</v>
      </c>
      <c r="AC34" s="177">
        <f>IFERROR(Inv_SY_B!AC34/Inv_SY_B!$BY34-1,"")</f>
        <v>5.4552896738638834E-2</v>
      </c>
      <c r="AD34" s="177">
        <f>IFERROR(Inv_SY_B!AD34/Inv_SY_B!$BY34-1,"")</f>
        <v>4.4054887991908709E-2</v>
      </c>
      <c r="AE34" s="177">
        <f>IFERROR(Inv_SY_B!AE34/Inv_SY_B!$BZ34-1,"")</f>
        <v>1.5137776101947553E-2</v>
      </c>
      <c r="AF34" s="177">
        <f>IFERROR(Inv_SY_B!AF34/Inv_SY_B!$BZ34-1,"")</f>
        <v>1.974036757494968E-4</v>
      </c>
      <c r="AG34" s="177">
        <f>IFERROR(Inv_SY_B!AG34/Inv_SY_B!$BZ34-1,"")</f>
        <v>1.4005670252654978E-2</v>
      </c>
      <c r="AH34" s="177">
        <f>IFERROR(Inv_SY_B!AH34/Inv_SY_B!$BZ34-1,"")</f>
        <v>4.1562215038251082E-3</v>
      </c>
      <c r="AI34" s="177">
        <f>IFERROR(Inv_SY_B!AI34/Inv_SY_B!$BZ34-1,"")</f>
        <v>2.2604004281460366E-2</v>
      </c>
      <c r="AJ34" s="177">
        <f>IFERROR(Inv_SY_B!AJ34/Inv_SY_B!$BZ34-1,"")</f>
        <v>6.8933917073701334E-3</v>
      </c>
      <c r="AK34" s="177">
        <f>IFERROR(Inv_SY_B!AK34/Inv_SY_B!$BZ34-1,"")</f>
        <v>1.7174031260006384E-2</v>
      </c>
      <c r="AL34" s="177">
        <f>IFERROR(Inv_SY_B!AL34/Inv_SY_B!$BZ34-1,"")</f>
        <v>2.5594711927013236E-2</v>
      </c>
      <c r="AM34" s="177">
        <f>IFERROR(Inv_SY_B!AM34/Inv_SY_B!$BZ34-1,"")</f>
        <v>-2.7495554738228067E-2</v>
      </c>
      <c r="AN34" s="177">
        <f>IFERROR(Inv_SY_B!AN34/Inv_SY_B!$BZ34-1,"")</f>
        <v>-2.4430045425045122E-2</v>
      </c>
      <c r="AO34" s="177">
        <f>IFERROR(Inv_SY_B!AO34/Inv_SY_B!$BZ34-1,"")</f>
        <v>-2.8006472957091799E-2</v>
      </c>
      <c r="AP34" s="177">
        <f>IFERROR(Inv_SY_B!AP34/Inv_SY_B!$BZ34-1,"")</f>
        <v>-2.7609092120197798E-2</v>
      </c>
      <c r="AQ34" s="177">
        <f>IFERROR(Inv_SY_B!AQ34/Inv_SY_B!$BZ34-1,"")</f>
        <v>-2.78419304229931E-2</v>
      </c>
      <c r="AR34" s="177">
        <f>IFERROR(Inv_SY_B!AR34/Inv_SY_B!$BZ34-1,"")</f>
        <v>-3.2059159928243042E-2</v>
      </c>
      <c r="AS34" s="177">
        <f>IFERROR(Inv_SY_B!AS34/Inv_SY_B!$BZ34-1,"")</f>
        <v>1.2070540842936239E-2</v>
      </c>
      <c r="AT34" s="177">
        <f>IFERROR(Inv_SY_B!AT34/Inv_SY_B!$BZ34-1,"")</f>
        <v>2.7496661923837262E-2</v>
      </c>
      <c r="AU34" s="177">
        <f>IFERROR(Inv_SY_B!AU34/Inv_SY_B!$BZ34-1,"")</f>
        <v>1.2762821816260983E-2</v>
      </c>
      <c r="AV34" s="177">
        <f>IFERROR(Inv_SY_B!AV34/Inv_SY_B!$BZ34-1,"")</f>
        <v>9.3490202987416282E-3</v>
      </c>
      <c r="AW34" s="177">
        <f>IFERROR(Inv_SY_B!AW34/Inv_SY_B!$CA34-1,"")</f>
        <v>-2.0711169507299121E-2</v>
      </c>
      <c r="AX34" s="177">
        <f>IFERROR(Inv_SY_B!AX34/Inv_SY_B!$CA34-1,"")</f>
        <v>-2.1363835345157067E-2</v>
      </c>
      <c r="AY34" s="177">
        <f>IFERROR(Inv_SY_B!AY34/Inv_SY_B!$CA34-1,"")</f>
        <v>-7.4083224443263096E-2</v>
      </c>
      <c r="AZ34" s="177">
        <f>IFERROR(Inv_SY_B!AZ34/Inv_SY_B!$CA34-1,"")</f>
        <v>-1.4727327669975532E-3</v>
      </c>
      <c r="BA34" s="177">
        <f>IFERROR(Inv_SY_B!BA34/Inv_SY_B!$CA34-1,"")</f>
        <v>-5.5012806168741823E-2</v>
      </c>
      <c r="BB34" s="177">
        <f>IFERROR(Inv_SY_B!BB34/Inv_SY_B!$CA34-1,"")</f>
        <v>-5.0430748780589951E-3</v>
      </c>
      <c r="BC34" s="177">
        <f>IFERROR(Inv_SY_B!BC34/Inv_SY_B!$CA34-1,"")</f>
        <v>3.4561140888138553E-3</v>
      </c>
      <c r="BD34" s="177">
        <f>IFERROR(Inv_SY_B!BD34/Inv_SY_B!$CA34-1,"")</f>
        <v>1.7327750498849825E-2</v>
      </c>
      <c r="BE34" s="177">
        <f>IFERROR(Inv_SY_B!BE34/Inv_SY_B!$CA34-1,"")</f>
        <v>-3.0726438811025547E-2</v>
      </c>
      <c r="BF34" s="177">
        <f>IFERROR(Inv_SY_B!BF34/Inv_SY_B!$CA34-1,"")</f>
        <v>-4.6095531721646932E-2</v>
      </c>
      <c r="BG34" s="177">
        <f>IFERROR(Inv_SY_B!BG34/Inv_SY_B!$CA34-1,"")</f>
        <v>-1.9125078419171104E-2</v>
      </c>
      <c r="BH34" s="177">
        <f>IFERROR(Inv_SY_B!BH34/Inv_SY_B!$CA34-1,"")</f>
        <v>-1.4175196835416348E-2</v>
      </c>
      <c r="BI34" s="177">
        <f>IFERROR(Inv_SY_B!BI34/Inv_SY_B!$CA34-1,"")</f>
        <v>5.8168711592376798E-3</v>
      </c>
      <c r="BJ34" s="177">
        <f>IFERROR(Inv_SY_B!BJ34/Inv_SY_B!$CA34-1,"")</f>
        <v>1.5824023827683664E-2</v>
      </c>
      <c r="BK34" s="177">
        <f>IFERROR(Inv_SY_B!BK34/Inv_SY_B!$CA34-1,"")</f>
        <v>2.6528081298148765E-2</v>
      </c>
      <c r="BL34" s="177">
        <f>IFERROR(Inv_SY_B!BL34/Inv_SY_B!$CA34-1,"")</f>
        <v>6.0312529325177167E-3</v>
      </c>
      <c r="BM34" s="177">
        <f>IFERROR(Inv_SY_B!BM34/Inv_SY_B!$CA34-1,"")</f>
        <v>5.1232137289840107E-2</v>
      </c>
      <c r="BN34" s="177">
        <f>IFERROR(Inv_SY_B!BN34/Inv_SY_B!$CA34-1,"")</f>
        <v>-1.7893077032242188E-2</v>
      </c>
      <c r="BO34" s="177">
        <f>IFERROR(Inv_SY_B!BO34/Inv_SY_B!$CA34-1,"")</f>
        <v>2.9245840137440471E-2</v>
      </c>
      <c r="BP34" s="177">
        <f>IFERROR(Inv_SY_B!BP34/Inv_SY_B!$CA34-1,"")</f>
        <v>4.3334762782932357E-2</v>
      </c>
      <c r="BQ34" s="177">
        <f>IFERROR(Inv_SY_B!BQ34/Inv_SY_B!$CA34-1,"")</f>
        <v>5.6608902518090032E-2</v>
      </c>
      <c r="BR34" s="177">
        <f>IFERROR(Inv_SY_B!BR34/Inv_SY_B!$CA34-1,"")</f>
        <v>0.11815149338748476</v>
      </c>
      <c r="BS34" s="177">
        <f>IFERROR(Inv_SY_B!BS34/Inv_SY_B!$CA34-1,"")</f>
        <v>6.4460868687440831E-2</v>
      </c>
      <c r="BT34" s="177">
        <f>IFERROR(Inv_SY_B!BT34/Inv_SY_B!$CA34-1,"")</f>
        <v>9.4889339636929915E-2</v>
      </c>
      <c r="BU34" s="177">
        <f>IFERROR(Inv_SY_B!BU34/Inv_SY_B!$CA34-1,"")</f>
        <v>3.2489242102993643E-2</v>
      </c>
      <c r="BV34" s="177">
        <f>IFERROR(Inv_SY_B!BV34/Inv_SY_B!$CA34-1,"")</f>
        <v>-0.2071339066515413</v>
      </c>
      <c r="BW34" s="177">
        <f>IFERROR(Inv_SY_B!BW34/Inv_SY_B!$CA34-1,"")</f>
        <v>1.2363901305223246E-2</v>
      </c>
      <c r="BX34" s="177">
        <f>IFERROR(Inv_SY_B!BX34/Inv_SY_B!$CA34-1,"")</f>
        <v>-6.4924509073070902E-2</v>
      </c>
    </row>
    <row r="35" spans="1:76" ht="14.25" customHeight="1">
      <c r="A35"/>
      <c r="B35" s="175">
        <f>B34+1</f>
        <v>45868</v>
      </c>
      <c r="C35" s="177">
        <f>IFERROR(Inv_SY_B!C35/Inv_SY_B!$BY35-1,"")</f>
        <v>-5.7279080340399968E-4</v>
      </c>
      <c r="D35" s="177">
        <f>IFERROR(Inv_SY_B!D35/Inv_SY_B!$BY35-1,"")</f>
        <v>4.9819647373938736E-3</v>
      </c>
      <c r="E35" s="177">
        <f>IFERROR(Inv_SY_B!E35/Inv_SY_B!$BY35-1,"")</f>
        <v>-2.57457127828431E-4</v>
      </c>
      <c r="F35" s="177">
        <f>IFERROR(Inv_SY_B!F35/Inv_SY_B!$BY35-1,"")</f>
        <v>-8.1345807497856804E-3</v>
      </c>
      <c r="G35" s="177">
        <f>IFERROR(Inv_SY_B!G35/Inv_SY_B!$BY35-1,"")</f>
        <v>-1.4404219697512488E-3</v>
      </c>
      <c r="H35" s="177">
        <f>IFERROR(Inv_SY_B!H35/Inv_SY_B!$BY35-1,"")</f>
        <v>-1.3504641004737139E-2</v>
      </c>
      <c r="I35" s="177">
        <f>IFERROR(Inv_SY_B!I35/Inv_SY_B!$BY35-1,"")</f>
        <v>4.8647933981671443E-4</v>
      </c>
      <c r="J35" s="177">
        <f>IFERROR(Inv_SY_B!J35/Inv_SY_B!$BY35-1,"")</f>
        <v>5.8628211959588228E-3</v>
      </c>
      <c r="K35" s="177">
        <f>IFERROR(Inv_SY_B!K35/Inv_SY_B!$BY35-1,"")</f>
        <v>-1.9220104861768061E-2</v>
      </c>
      <c r="L35" s="177">
        <f>IFERROR(Inv_SY_B!L35/Inv_SY_B!$BY35-1,"")</f>
        <v>1.2006934212143605E-2</v>
      </c>
      <c r="M35" s="177">
        <f>IFERROR(Inv_SY_B!M35/Inv_SY_B!$BY35-1,"")</f>
        <v>3.3911169952371978E-2</v>
      </c>
      <c r="N35" s="177">
        <f>IFERROR(Inv_SY_B!N35/Inv_SY_B!$BY35-1,"")</f>
        <v>-1.0863619257571844E-2</v>
      </c>
      <c r="O35" s="177">
        <f>IFERROR(Inv_SY_B!O35/Inv_SY_B!$BY35-1,"")</f>
        <v>1.759288740827758E-2</v>
      </c>
      <c r="P35" s="177">
        <f>IFERROR(Inv_SY_B!P35/Inv_SY_B!$BY35-1,"")</f>
        <v>-5.4691060343922127E-3</v>
      </c>
      <c r="Q35" s="177">
        <f>IFERROR(Inv_SY_B!Q35/Inv_SY_B!$BY35-1,"")</f>
        <v>3.7851073491557141E-3</v>
      </c>
      <c r="R35" s="177">
        <f>IFERROR(Inv_SY_B!R35/Inv_SY_B!$BY35-1,"")</f>
        <v>3.0332442375895496E-3</v>
      </c>
      <c r="S35" s="177">
        <f>IFERROR(Inv_SY_B!S35/Inv_SY_B!$BY35-1,"")</f>
        <v>-9.4045112884924009E-3</v>
      </c>
      <c r="T35" s="177">
        <f>IFERROR(Inv_SY_B!T35/Inv_SY_B!$BY35-1,"")</f>
        <v>-0.10778697001942728</v>
      </c>
      <c r="U35" s="177">
        <f>IFERROR(Inv_SY_B!U35/Inv_SY_B!$BY35-1,"")</f>
        <v>-3.9224503866630567E-3</v>
      </c>
      <c r="V35" s="177">
        <f>IFERROR(Inv_SY_B!V35/Inv_SY_B!$BY35-1,"")</f>
        <v>4.1162849414999592E-4</v>
      </c>
      <c r="W35" s="177">
        <f>IFERROR(Inv_SY_B!W35/Inv_SY_B!$BY35-1,"")</f>
        <v>-8.5529399167054709E-3</v>
      </c>
      <c r="X35" s="177">
        <f>IFERROR(Inv_SY_B!X35/Inv_SY_B!$BY35-1,"")</f>
        <v>4.6510941868875832E-3</v>
      </c>
      <c r="Y35" s="177">
        <f>IFERROR(Inv_SY_B!Y35/Inv_SY_B!$BY35-1,"")</f>
        <v>2.0923957781459057E-2</v>
      </c>
      <c r="Z35" s="177">
        <f>IFERROR(Inv_SY_B!Z35/Inv_SY_B!$BY35-1,"")</f>
        <v>2.8465038491051642E-2</v>
      </c>
      <c r="AA35" s="177">
        <f>IFERROR(Inv_SY_B!AA35/Inv_SY_B!$BY35-1,"")</f>
        <v>2.0810105949075508E-2</v>
      </c>
      <c r="AB35" s="177">
        <f>IFERROR(Inv_SY_B!AB35/Inv_SY_B!$BY35-1,"")</f>
        <v>3.8968441476840976E-3</v>
      </c>
      <c r="AC35" s="177">
        <f>IFERROR(Inv_SY_B!AC35/Inv_SY_B!$BY35-1,"")</f>
        <v>1.7443373099348403E-2</v>
      </c>
      <c r="AD35" s="177">
        <f>IFERROR(Inv_SY_B!AD35/Inv_SY_B!$BY35-1,"")</f>
        <v>1.086694283816092E-2</v>
      </c>
      <c r="AE35" s="177">
        <f>IFERROR(Inv_SY_B!AE35/Inv_SY_B!$BZ35-1,"")</f>
        <v>-1.6959131260453564E-2</v>
      </c>
      <c r="AF35" s="177">
        <f>IFERROR(Inv_SY_B!AF35/Inv_SY_B!$BZ35-1,"")</f>
        <v>-2.4298460709914593E-2</v>
      </c>
      <c r="AG35" s="177">
        <f>IFERROR(Inv_SY_B!AG35/Inv_SY_B!$BZ35-1,"")</f>
        <v>-4.80770610434611E-4</v>
      </c>
      <c r="AH35" s="177">
        <f>IFERROR(Inv_SY_B!AH35/Inv_SY_B!$BZ35-1,"")</f>
        <v>-9.3991362929535249E-3</v>
      </c>
      <c r="AI35" s="177">
        <f>IFERROR(Inv_SY_B!AI35/Inv_SY_B!$BZ35-1,"")</f>
        <v>2.2428886285754679E-3</v>
      </c>
      <c r="AJ35" s="177">
        <f>IFERROR(Inv_SY_B!AJ35/Inv_SY_B!$BZ35-1,"")</f>
        <v>-1.0235162195345815E-2</v>
      </c>
      <c r="AK35" s="177">
        <f>IFERROR(Inv_SY_B!AK35/Inv_SY_B!$BZ35-1,"")</f>
        <v>-2.6389918202935903E-3</v>
      </c>
      <c r="AL35" s="177">
        <f>IFERROR(Inv_SY_B!AL35/Inv_SY_B!$BZ35-1,"")</f>
        <v>6.4563493771272462E-3</v>
      </c>
      <c r="AM35" s="177">
        <f>IFERROR(Inv_SY_B!AM35/Inv_SY_B!$BZ35-1,"")</f>
        <v>7.0223978586287927E-3</v>
      </c>
      <c r="AN35" s="177">
        <f>IFERROR(Inv_SY_B!AN35/Inv_SY_B!$BZ35-1,"")</f>
        <v>1.1152037249171576E-2</v>
      </c>
      <c r="AO35" s="177">
        <f>IFERROR(Inv_SY_B!AO35/Inv_SY_B!$BZ35-1,"")</f>
        <v>7.789330888301027E-3</v>
      </c>
      <c r="AP35" s="177">
        <f>IFERROR(Inv_SY_B!AP35/Inv_SY_B!$BZ35-1,"")</f>
        <v>5.6065214961569243E-3</v>
      </c>
      <c r="AQ35" s="177">
        <f>IFERROR(Inv_SY_B!AQ35/Inv_SY_B!$BZ35-1,"")</f>
        <v>7.9736860368115892E-3</v>
      </c>
      <c r="AR35" s="177">
        <f>IFERROR(Inv_SY_B!AR35/Inv_SY_B!$BZ35-1,"")</f>
        <v>5.6063144966889134E-3</v>
      </c>
      <c r="AS35" s="177">
        <f>IFERROR(Inv_SY_B!AS35/Inv_SY_B!$BZ35-1,"")</f>
        <v>-1.2446339124236538E-2</v>
      </c>
      <c r="AT35" s="177">
        <f>IFERROR(Inv_SY_B!AT35/Inv_SY_B!$BZ35-1,"")</f>
        <v>9.3961576140497716E-3</v>
      </c>
      <c r="AU35" s="177">
        <f>IFERROR(Inv_SY_B!AU35/Inv_SY_B!$BZ35-1,"")</f>
        <v>6.3839184439002938E-3</v>
      </c>
      <c r="AV35" s="177">
        <f>IFERROR(Inv_SY_B!AV35/Inv_SY_B!$BZ35-1,"")</f>
        <v>6.8283899242187474E-3</v>
      </c>
      <c r="AW35" s="177">
        <f>IFERROR(Inv_SY_B!AW35/Inv_SY_B!$CA35-1,"")</f>
        <v>3.29588336451625E-3</v>
      </c>
      <c r="AX35" s="177">
        <f>IFERROR(Inv_SY_B!AX35/Inv_SY_B!$CA35-1,"")</f>
        <v>1.2493639620654751E-2</v>
      </c>
      <c r="AY35" s="177">
        <f>IFERROR(Inv_SY_B!AY35/Inv_SY_B!$CA35-1,"")</f>
        <v>-3.7819720006530888E-2</v>
      </c>
      <c r="AZ35" s="177">
        <f>IFERROR(Inv_SY_B!AZ35/Inv_SY_B!$CA35-1,"")</f>
        <v>3.2102531708618098E-2</v>
      </c>
      <c r="BA35" s="177">
        <f>IFERROR(Inv_SY_B!BA35/Inv_SY_B!$CA35-1,"")</f>
        <v>-3.65981963278319E-2</v>
      </c>
      <c r="BB35" s="177">
        <f>IFERROR(Inv_SY_B!BB35/Inv_SY_B!$CA35-1,"")</f>
        <v>-8.0781086538027624E-3</v>
      </c>
      <c r="BC35" s="177">
        <f>IFERROR(Inv_SY_B!BC35/Inv_SY_B!$CA35-1,"")</f>
        <v>-5.0320119986698719E-3</v>
      </c>
      <c r="BD35" s="177">
        <f>IFERROR(Inv_SY_B!BD35/Inv_SY_B!$CA35-1,"")</f>
        <v>6.4286935402977363E-3</v>
      </c>
      <c r="BE35" s="177">
        <f>IFERROR(Inv_SY_B!BE35/Inv_SY_B!$CA35-1,"")</f>
        <v>-9.9200590433098368E-3</v>
      </c>
      <c r="BF35" s="177">
        <f>IFERROR(Inv_SY_B!BF35/Inv_SY_B!$CA35-1,"")</f>
        <v>-1.1139511483032494E-2</v>
      </c>
      <c r="BG35" s="177">
        <f>IFERROR(Inv_SY_B!BG35/Inv_SY_B!$CA35-1,"")</f>
        <v>-5.4254901457122529E-3</v>
      </c>
      <c r="BH35" s="177">
        <f>IFERROR(Inv_SY_B!BH35/Inv_SY_B!$CA35-1,"")</f>
        <v>-1.4348877489048784E-3</v>
      </c>
      <c r="BI35" s="177">
        <f>IFERROR(Inv_SY_B!BI35/Inv_SY_B!$CA35-1,"")</f>
        <v>2.8991696001884559E-2</v>
      </c>
      <c r="BJ35" s="177">
        <f>IFERROR(Inv_SY_B!BJ35/Inv_SY_B!$CA35-1,"")</f>
        <v>3.3222378944832931E-2</v>
      </c>
      <c r="BK35" s="177">
        <f>IFERROR(Inv_SY_B!BK35/Inv_SY_B!$CA35-1,"")</f>
        <v>3.6453103512013696E-2</v>
      </c>
      <c r="BL35" s="177">
        <f>IFERROR(Inv_SY_B!BL35/Inv_SY_B!$CA35-1,"")</f>
        <v>2.2006915146707939E-2</v>
      </c>
      <c r="BM35" s="177">
        <f>IFERROR(Inv_SY_B!BM35/Inv_SY_B!$CA35-1,"")</f>
        <v>-3.3019540597841845E-2</v>
      </c>
      <c r="BN35" s="177">
        <f>IFERROR(Inv_SY_B!BN35/Inv_SY_B!$CA35-1,"")</f>
        <v>-6.0665426952486889E-2</v>
      </c>
      <c r="BO35" s="177">
        <f>IFERROR(Inv_SY_B!BO35/Inv_SY_B!$CA35-1,"")</f>
        <v>-1.9451156287099702E-2</v>
      </c>
      <c r="BP35" s="177">
        <f>IFERROR(Inv_SY_B!BP35/Inv_SY_B!$CA35-1,"")</f>
        <v>-6.021040215165363E-3</v>
      </c>
      <c r="BQ35" s="177">
        <f>IFERROR(Inv_SY_B!BQ35/Inv_SY_B!$CA35-1,"")</f>
        <v>8.9854312490349475E-3</v>
      </c>
      <c r="BR35" s="177">
        <f>IFERROR(Inv_SY_B!BR35/Inv_SY_B!$CA35-1,"")</f>
        <v>6.4563403274703335E-2</v>
      </c>
      <c r="BS35" s="177">
        <f>IFERROR(Inv_SY_B!BS35/Inv_SY_B!$CA35-1,"")</f>
        <v>2.0309848388514906E-2</v>
      </c>
      <c r="BT35" s="177">
        <f>IFERROR(Inv_SY_B!BT35/Inv_SY_B!$CA35-1,"")</f>
        <v>3.9017029592695929E-2</v>
      </c>
      <c r="BU35" s="177">
        <f>IFERROR(Inv_SY_B!BU35/Inv_SY_B!$CA35-1,"")</f>
        <v>-1.3559808279463903E-2</v>
      </c>
      <c r="BV35" s="177">
        <f>IFERROR(Inv_SY_B!BV35/Inv_SY_B!$CA35-1,"")</f>
        <v>3.5556230879341122E-3</v>
      </c>
      <c r="BW35" s="177">
        <f>IFERROR(Inv_SY_B!BW35/Inv_SY_B!$CA35-1,"")</f>
        <v>-1.8471587377918319E-2</v>
      </c>
      <c r="BX35" s="177">
        <f>IFERROR(Inv_SY_B!BX35/Inv_SY_B!$CA35-1,"")</f>
        <v>-4.4789632314639949E-2</v>
      </c>
    </row>
    <row r="36" spans="1:76">
      <c r="B36" s="173">
        <f t="shared" ref="B36:B56" si="2">B35+1</f>
        <v>45869</v>
      </c>
      <c r="C36" s="177" t="str">
        <f>IFERROR(Inv_SY_B!C36/Inv_SY_B!$BY36-1,"")</f>
        <v/>
      </c>
      <c r="D36" s="177" t="str">
        <f>IFERROR(Inv_SY_B!D36/Inv_SY_B!$BY36-1,"")</f>
        <v/>
      </c>
      <c r="E36" s="177" t="str">
        <f>IFERROR(Inv_SY_B!E36/Inv_SY_B!$BY36-1,"")</f>
        <v/>
      </c>
      <c r="F36" s="177" t="str">
        <f>IFERROR(Inv_SY_B!F36/Inv_SY_B!$BY36-1,"")</f>
        <v/>
      </c>
      <c r="G36" s="177" t="str">
        <f>IFERROR(Inv_SY_B!G36/Inv_SY_B!$BY36-1,"")</f>
        <v/>
      </c>
      <c r="H36" s="177" t="str">
        <f>IFERROR(Inv_SY_B!H36/Inv_SY_B!$BY36-1,"")</f>
        <v/>
      </c>
      <c r="I36" s="177" t="str">
        <f>IFERROR(Inv_SY_B!I36/Inv_SY_B!$BY36-1,"")</f>
        <v/>
      </c>
      <c r="J36" s="177" t="str">
        <f>IFERROR(Inv_SY_B!J36/Inv_SY_B!$BY36-1,"")</f>
        <v/>
      </c>
      <c r="K36" s="177" t="str">
        <f>IFERROR(Inv_SY_B!K36/Inv_SY_B!$BY36-1,"")</f>
        <v/>
      </c>
      <c r="L36" s="177" t="str">
        <f>IFERROR(Inv_SY_B!L36/Inv_SY_B!$BY36-1,"")</f>
        <v/>
      </c>
      <c r="M36" s="177" t="str">
        <f>IFERROR(Inv_SY_B!M36/Inv_SY_B!$BY36-1,"")</f>
        <v/>
      </c>
      <c r="N36" s="177" t="str">
        <f>IFERROR(Inv_SY_B!N36/Inv_SY_B!$BY36-1,"")</f>
        <v/>
      </c>
      <c r="O36" s="177" t="str">
        <f>IFERROR(Inv_SY_B!O36/Inv_SY_B!$BY36-1,"")</f>
        <v/>
      </c>
      <c r="P36" s="177" t="str">
        <f>IFERROR(Inv_SY_B!P36/Inv_SY_B!$BY36-1,"")</f>
        <v/>
      </c>
      <c r="Q36" s="177" t="str">
        <f>IFERROR(Inv_SY_B!Q36/Inv_SY_B!$BY36-1,"")</f>
        <v/>
      </c>
      <c r="R36" s="177" t="str">
        <f>IFERROR(Inv_SY_B!R36/Inv_SY_B!$BY36-1,"")</f>
        <v/>
      </c>
      <c r="S36" s="177" t="str">
        <f>IFERROR(Inv_SY_B!S36/Inv_SY_B!$BY36-1,"")</f>
        <v/>
      </c>
      <c r="T36" s="177" t="str">
        <f>IFERROR(Inv_SY_B!T36/Inv_SY_B!$BY36-1,"")</f>
        <v/>
      </c>
      <c r="U36" s="177" t="str">
        <f>IFERROR(Inv_SY_B!U36/Inv_SY_B!$BY36-1,"")</f>
        <v/>
      </c>
      <c r="V36" s="177" t="str">
        <f>IFERROR(Inv_SY_B!V36/Inv_SY_B!$BY36-1,"")</f>
        <v/>
      </c>
      <c r="W36" s="177" t="str">
        <f>IFERROR(Inv_SY_B!W36/Inv_SY_B!$BY36-1,"")</f>
        <v/>
      </c>
      <c r="X36" s="177" t="str">
        <f>IFERROR(Inv_SY_B!X36/Inv_SY_B!$BY36-1,"")</f>
        <v/>
      </c>
      <c r="Y36" s="177" t="str">
        <f>IFERROR(Inv_SY_B!Y36/Inv_SY_B!$BY36-1,"")</f>
        <v/>
      </c>
      <c r="Z36" s="177" t="str">
        <f>IFERROR(Inv_SY_B!Z36/Inv_SY_B!$BY36-1,"")</f>
        <v/>
      </c>
      <c r="AA36" s="177" t="str">
        <f>IFERROR(Inv_SY_B!AA36/Inv_SY_B!$BY36-1,"")</f>
        <v/>
      </c>
      <c r="AB36" s="177" t="str">
        <f>IFERROR(Inv_SY_B!AB36/Inv_SY_B!$BY36-1,"")</f>
        <v/>
      </c>
      <c r="AC36" s="177" t="str">
        <f>IFERROR(Inv_SY_B!AC36/Inv_SY_B!$BY36-1,"")</f>
        <v/>
      </c>
      <c r="AD36" s="177" t="str">
        <f>IFERROR(Inv_SY_B!AD36/Inv_SY_B!$BY36-1,"")</f>
        <v/>
      </c>
      <c r="AE36" s="177" t="str">
        <f>IFERROR(Inv_SY_B!AE36/Inv_SY_B!$BZ36-1,"")</f>
        <v/>
      </c>
      <c r="AF36" s="177" t="str">
        <f>IFERROR(Inv_SY_B!AF36/Inv_SY_B!$BZ36-1,"")</f>
        <v/>
      </c>
      <c r="AG36" s="177" t="str">
        <f>IFERROR(Inv_SY_B!AG36/Inv_SY_B!$BZ36-1,"")</f>
        <v/>
      </c>
      <c r="AH36" s="177" t="str">
        <f>IFERROR(Inv_SY_B!AH36/Inv_SY_B!$BZ36-1,"")</f>
        <v/>
      </c>
      <c r="AI36" s="177" t="str">
        <f>IFERROR(Inv_SY_B!AI36/Inv_SY_B!$BZ36-1,"")</f>
        <v/>
      </c>
      <c r="AJ36" s="177" t="str">
        <f>IFERROR(Inv_SY_B!AJ36/Inv_SY_B!$BZ36-1,"")</f>
        <v/>
      </c>
      <c r="AK36" s="177" t="str">
        <f>IFERROR(Inv_SY_B!AK36/Inv_SY_B!$BZ36-1,"")</f>
        <v/>
      </c>
      <c r="AL36" s="177" t="str">
        <f>IFERROR(Inv_SY_B!AL36/Inv_SY_B!$BZ36-1,"")</f>
        <v/>
      </c>
      <c r="AM36" s="177" t="str">
        <f>IFERROR(Inv_SY_B!AM36/Inv_SY_B!$BZ36-1,"")</f>
        <v/>
      </c>
      <c r="AN36" s="177" t="str">
        <f>IFERROR(Inv_SY_B!AN36/Inv_SY_B!$BZ36-1,"")</f>
        <v/>
      </c>
      <c r="AO36" s="177" t="str">
        <f>IFERROR(Inv_SY_B!AO36/Inv_SY_B!$BZ36-1,"")</f>
        <v/>
      </c>
      <c r="AP36" s="177" t="str">
        <f>IFERROR(Inv_SY_B!AP36/Inv_SY_B!$BZ36-1,"")</f>
        <v/>
      </c>
      <c r="AQ36" s="177" t="str">
        <f>IFERROR(Inv_SY_B!AQ36/Inv_SY_B!$BZ36-1,"")</f>
        <v/>
      </c>
      <c r="AR36" s="177" t="str">
        <f>IFERROR(Inv_SY_B!AR36/Inv_SY_B!$BZ36-1,"")</f>
        <v/>
      </c>
      <c r="AS36" s="177" t="str">
        <f>IFERROR(Inv_SY_B!AS36/Inv_SY_B!$BZ36-1,"")</f>
        <v/>
      </c>
      <c r="AT36" s="177" t="str">
        <f>IFERROR(Inv_SY_B!AT36/Inv_SY_B!$BZ36-1,"")</f>
        <v/>
      </c>
      <c r="AU36" s="177" t="str">
        <f>IFERROR(Inv_SY_B!AU36/Inv_SY_B!$BZ36-1,"")</f>
        <v/>
      </c>
      <c r="AV36" s="177" t="str">
        <f>IFERROR(Inv_SY_B!AV36/Inv_SY_B!$BZ36-1,"")</f>
        <v/>
      </c>
      <c r="AW36" s="177" t="str">
        <f>IFERROR(Inv_SY_B!AW36/Inv_SY_B!$CA36-1,"")</f>
        <v/>
      </c>
      <c r="AX36" s="177" t="str">
        <f>IFERROR(Inv_SY_B!AX36/Inv_SY_B!$CA36-1,"")</f>
        <v/>
      </c>
      <c r="AY36" s="177" t="str">
        <f>IFERROR(Inv_SY_B!AY36/Inv_SY_B!$CA36-1,"")</f>
        <v/>
      </c>
      <c r="AZ36" s="177" t="str">
        <f>IFERROR(Inv_SY_B!AZ36/Inv_SY_B!$CA36-1,"")</f>
        <v/>
      </c>
      <c r="BA36" s="177" t="str">
        <f>IFERROR(Inv_SY_B!BA36/Inv_SY_B!$CA36-1,"")</f>
        <v/>
      </c>
      <c r="BB36" s="177" t="str">
        <f>IFERROR(Inv_SY_B!BB36/Inv_SY_B!$CA36-1,"")</f>
        <v/>
      </c>
      <c r="BC36" s="177" t="str">
        <f>IFERROR(Inv_SY_B!BC36/Inv_SY_B!$CA36-1,"")</f>
        <v/>
      </c>
      <c r="BD36" s="177" t="str">
        <f>IFERROR(Inv_SY_B!BD36/Inv_SY_B!$CA36-1,"")</f>
        <v/>
      </c>
      <c r="BE36" s="177" t="str">
        <f>IFERROR(Inv_SY_B!BE36/Inv_SY_B!$CA36-1,"")</f>
        <v/>
      </c>
      <c r="BF36" s="177" t="str">
        <f>IFERROR(Inv_SY_B!BF36/Inv_SY_B!$CA36-1,"")</f>
        <v/>
      </c>
      <c r="BG36" s="177" t="str">
        <f>IFERROR(Inv_SY_B!BG36/Inv_SY_B!$CA36-1,"")</f>
        <v/>
      </c>
      <c r="BH36" s="177" t="str">
        <f>IFERROR(Inv_SY_B!BH36/Inv_SY_B!$CA36-1,"")</f>
        <v/>
      </c>
      <c r="BI36" s="177" t="str">
        <f>IFERROR(Inv_SY_B!BI36/Inv_SY_B!$CA36-1,"")</f>
        <v/>
      </c>
      <c r="BJ36" s="177" t="str">
        <f>IFERROR(Inv_SY_B!BJ36/Inv_SY_B!$CA36-1,"")</f>
        <v/>
      </c>
      <c r="BK36" s="177" t="str">
        <f>IFERROR(Inv_SY_B!BK36/Inv_SY_B!$CA36-1,"")</f>
        <v/>
      </c>
      <c r="BL36" s="177" t="str">
        <f>IFERROR(Inv_SY_B!BL36/Inv_SY_B!$CA36-1,"")</f>
        <v/>
      </c>
      <c r="BM36" s="177" t="str">
        <f>IFERROR(Inv_SY_B!BM36/Inv_SY_B!$CA36-1,"")</f>
        <v/>
      </c>
      <c r="BN36" s="177" t="str">
        <f>IFERROR(Inv_SY_B!BN36/Inv_SY_B!$CA36-1,"")</f>
        <v/>
      </c>
      <c r="BO36" s="177" t="str">
        <f>IFERROR(Inv_SY_B!BO36/Inv_SY_B!$CA36-1,"")</f>
        <v/>
      </c>
      <c r="BP36" s="177" t="str">
        <f>IFERROR(Inv_SY_B!BP36/Inv_SY_B!$CA36-1,"")</f>
        <v/>
      </c>
      <c r="BQ36" s="177" t="str">
        <f>IFERROR(Inv_SY_B!BQ36/Inv_SY_B!$CA36-1,"")</f>
        <v/>
      </c>
      <c r="BR36" s="177" t="str">
        <f>IFERROR(Inv_SY_B!BR36/Inv_SY_B!$CA36-1,"")</f>
        <v/>
      </c>
      <c r="BS36" s="177" t="str">
        <f>IFERROR(Inv_SY_B!BS36/Inv_SY_B!$CA36-1,"")</f>
        <v/>
      </c>
      <c r="BT36" s="177" t="str">
        <f>IFERROR(Inv_SY_B!BT36/Inv_SY_B!$CA36-1,"")</f>
        <v/>
      </c>
      <c r="BU36" s="177" t="str">
        <f>IFERROR(Inv_SY_B!BU36/Inv_SY_B!$CA36-1,"")</f>
        <v/>
      </c>
      <c r="BV36" s="177" t="str">
        <f>IFERROR(Inv_SY_B!BV36/Inv_SY_B!$CA36-1,"")</f>
        <v/>
      </c>
      <c r="BW36" s="177" t="str">
        <f>IFERROR(Inv_SY_B!BW36/Inv_SY_B!$CA36-1,"")</f>
        <v/>
      </c>
      <c r="BX36" s="177" t="str">
        <f>IFERROR(Inv_SY_B!BX36/Inv_SY_B!$CA36-1,"")</f>
        <v/>
      </c>
    </row>
    <row r="37" spans="1:76">
      <c r="B37" s="173">
        <f t="shared" si="2"/>
        <v>45870</v>
      </c>
      <c r="C37" s="177" t="str">
        <f>IFERROR(Inv_SY_B!C37/Inv_SY_B!$BY37-1,"")</f>
        <v/>
      </c>
      <c r="D37" s="177" t="str">
        <f>IFERROR(Inv_SY_B!D37/Inv_SY_B!$BY37-1,"")</f>
        <v/>
      </c>
      <c r="E37" s="177" t="str">
        <f>IFERROR(Inv_SY_B!E37/Inv_SY_B!$BY37-1,"")</f>
        <v/>
      </c>
      <c r="F37" s="177" t="str">
        <f>IFERROR(Inv_SY_B!F37/Inv_SY_B!$BY37-1,"")</f>
        <v/>
      </c>
      <c r="G37" s="177" t="str">
        <f>IFERROR(Inv_SY_B!G37/Inv_SY_B!$BY37-1,"")</f>
        <v/>
      </c>
      <c r="H37" s="177" t="str">
        <f>IFERROR(Inv_SY_B!H37/Inv_SY_B!$BY37-1,"")</f>
        <v/>
      </c>
      <c r="I37" s="177" t="str">
        <f>IFERROR(Inv_SY_B!I37/Inv_SY_B!$BY37-1,"")</f>
        <v/>
      </c>
      <c r="J37" s="177" t="str">
        <f>IFERROR(Inv_SY_B!J37/Inv_SY_B!$BY37-1,"")</f>
        <v/>
      </c>
      <c r="K37" s="177" t="str">
        <f>IFERROR(Inv_SY_B!K37/Inv_SY_B!$BY37-1,"")</f>
        <v/>
      </c>
      <c r="L37" s="177" t="str">
        <f>IFERROR(Inv_SY_B!L37/Inv_SY_B!$BY37-1,"")</f>
        <v/>
      </c>
      <c r="M37" s="177" t="str">
        <f>IFERROR(Inv_SY_B!M37/Inv_SY_B!$BY37-1,"")</f>
        <v/>
      </c>
      <c r="N37" s="177" t="str">
        <f>IFERROR(Inv_SY_B!N37/Inv_SY_B!$BY37-1,"")</f>
        <v/>
      </c>
      <c r="O37" s="177" t="str">
        <f>IFERROR(Inv_SY_B!O37/Inv_SY_B!$BY37-1,"")</f>
        <v/>
      </c>
      <c r="P37" s="177" t="str">
        <f>IFERROR(Inv_SY_B!P37/Inv_SY_B!$BY37-1,"")</f>
        <v/>
      </c>
      <c r="Q37" s="177" t="str">
        <f>IFERROR(Inv_SY_B!Q37/Inv_SY_B!$BY37-1,"")</f>
        <v/>
      </c>
      <c r="R37" s="177" t="str">
        <f>IFERROR(Inv_SY_B!R37/Inv_SY_B!$BY37-1,"")</f>
        <v/>
      </c>
      <c r="S37" s="177" t="str">
        <f>IFERROR(Inv_SY_B!S37/Inv_SY_B!$BY37-1,"")</f>
        <v/>
      </c>
      <c r="T37" s="177" t="str">
        <f>IFERROR(Inv_SY_B!T37/Inv_SY_B!$BY37-1,"")</f>
        <v/>
      </c>
      <c r="U37" s="177" t="str">
        <f>IFERROR(Inv_SY_B!U37/Inv_SY_B!$BY37-1,"")</f>
        <v/>
      </c>
      <c r="V37" s="177" t="str">
        <f>IFERROR(Inv_SY_B!V37/Inv_SY_B!$BY37-1,"")</f>
        <v/>
      </c>
      <c r="W37" s="177" t="str">
        <f>IFERROR(Inv_SY_B!W37/Inv_SY_B!$BY37-1,"")</f>
        <v/>
      </c>
      <c r="X37" s="177" t="str">
        <f>IFERROR(Inv_SY_B!X37/Inv_SY_B!$BY37-1,"")</f>
        <v/>
      </c>
      <c r="Y37" s="177" t="str">
        <f>IFERROR(Inv_SY_B!Y37/Inv_SY_B!$BY37-1,"")</f>
        <v/>
      </c>
      <c r="Z37" s="177" t="str">
        <f>IFERROR(Inv_SY_B!Z37/Inv_SY_B!$BY37-1,"")</f>
        <v/>
      </c>
      <c r="AA37" s="177" t="str">
        <f>IFERROR(Inv_SY_B!AA37/Inv_SY_B!$BY37-1,"")</f>
        <v/>
      </c>
      <c r="AB37" s="177" t="str">
        <f>IFERROR(Inv_SY_B!AB37/Inv_SY_B!$BY37-1,"")</f>
        <v/>
      </c>
      <c r="AC37" s="177" t="str">
        <f>IFERROR(Inv_SY_B!AC37/Inv_SY_B!$BY37-1,"")</f>
        <v/>
      </c>
      <c r="AD37" s="177" t="str">
        <f>IFERROR(Inv_SY_B!AD37/Inv_SY_B!$BY37-1,"")</f>
        <v/>
      </c>
      <c r="AE37" s="177" t="str">
        <f>IFERROR(Inv_SY_B!AE37/Inv_SY_B!$BZ37-1,"")</f>
        <v/>
      </c>
      <c r="AF37" s="177" t="str">
        <f>IFERROR(Inv_SY_B!AF37/Inv_SY_B!$BZ37-1,"")</f>
        <v/>
      </c>
      <c r="AG37" s="177" t="str">
        <f>IFERROR(Inv_SY_B!AG37/Inv_SY_B!$BZ37-1,"")</f>
        <v/>
      </c>
      <c r="AH37" s="177" t="str">
        <f>IFERROR(Inv_SY_B!AH37/Inv_SY_B!$BZ37-1,"")</f>
        <v/>
      </c>
      <c r="AI37" s="177" t="str">
        <f>IFERROR(Inv_SY_B!AI37/Inv_SY_B!$BZ37-1,"")</f>
        <v/>
      </c>
      <c r="AJ37" s="177" t="str">
        <f>IFERROR(Inv_SY_B!AJ37/Inv_SY_B!$BZ37-1,"")</f>
        <v/>
      </c>
      <c r="AK37" s="177" t="str">
        <f>IFERROR(Inv_SY_B!AK37/Inv_SY_B!$BZ37-1,"")</f>
        <v/>
      </c>
      <c r="AL37" s="177" t="str">
        <f>IFERROR(Inv_SY_B!AL37/Inv_SY_B!$BZ37-1,"")</f>
        <v/>
      </c>
      <c r="AM37" s="177" t="str">
        <f>IFERROR(Inv_SY_B!AM37/Inv_SY_B!$BZ37-1,"")</f>
        <v/>
      </c>
      <c r="AN37" s="177" t="str">
        <f>IFERROR(Inv_SY_B!AN37/Inv_SY_B!$BZ37-1,"")</f>
        <v/>
      </c>
      <c r="AO37" s="177" t="str">
        <f>IFERROR(Inv_SY_B!AO37/Inv_SY_B!$BZ37-1,"")</f>
        <v/>
      </c>
      <c r="AP37" s="177" t="str">
        <f>IFERROR(Inv_SY_B!AP37/Inv_SY_B!$BZ37-1,"")</f>
        <v/>
      </c>
      <c r="AQ37" s="177" t="str">
        <f>IFERROR(Inv_SY_B!AQ37/Inv_SY_B!$BZ37-1,"")</f>
        <v/>
      </c>
      <c r="AR37" s="177" t="str">
        <f>IFERROR(Inv_SY_B!AR37/Inv_SY_B!$BZ37-1,"")</f>
        <v/>
      </c>
      <c r="AS37" s="177" t="str">
        <f>IFERROR(Inv_SY_B!AS37/Inv_SY_B!$BZ37-1,"")</f>
        <v/>
      </c>
      <c r="AT37" s="177" t="str">
        <f>IFERROR(Inv_SY_B!AT37/Inv_SY_B!$BZ37-1,"")</f>
        <v/>
      </c>
      <c r="AU37" s="177" t="str">
        <f>IFERROR(Inv_SY_B!AU37/Inv_SY_B!$BZ37-1,"")</f>
        <v/>
      </c>
      <c r="AV37" s="177" t="str">
        <f>IFERROR(Inv_SY_B!AV37/Inv_SY_B!$BZ37-1,"")</f>
        <v/>
      </c>
      <c r="AW37" s="177" t="str">
        <f>IFERROR(Inv_SY_B!AW37/Inv_SY_B!$CA37-1,"")</f>
        <v/>
      </c>
      <c r="AX37" s="177" t="str">
        <f>IFERROR(Inv_SY_B!AX37/Inv_SY_B!$CA37-1,"")</f>
        <v/>
      </c>
      <c r="AY37" s="177" t="str">
        <f>IFERROR(Inv_SY_B!AY37/Inv_SY_B!$CA37-1,"")</f>
        <v/>
      </c>
      <c r="AZ37" s="177" t="str">
        <f>IFERROR(Inv_SY_B!AZ37/Inv_SY_B!$CA37-1,"")</f>
        <v/>
      </c>
      <c r="BA37" s="177" t="str">
        <f>IFERROR(Inv_SY_B!BA37/Inv_SY_B!$CA37-1,"")</f>
        <v/>
      </c>
      <c r="BB37" s="177" t="str">
        <f>IFERROR(Inv_SY_B!BB37/Inv_SY_B!$CA37-1,"")</f>
        <v/>
      </c>
      <c r="BC37" s="177" t="str">
        <f>IFERROR(Inv_SY_B!BC37/Inv_SY_B!$CA37-1,"")</f>
        <v/>
      </c>
      <c r="BD37" s="177" t="str">
        <f>IFERROR(Inv_SY_B!BD37/Inv_SY_B!$CA37-1,"")</f>
        <v/>
      </c>
      <c r="BE37" s="177" t="str">
        <f>IFERROR(Inv_SY_B!BE37/Inv_SY_B!$CA37-1,"")</f>
        <v/>
      </c>
      <c r="BF37" s="177" t="str">
        <f>IFERROR(Inv_SY_B!BF37/Inv_SY_B!$CA37-1,"")</f>
        <v/>
      </c>
      <c r="BG37" s="177" t="str">
        <f>IFERROR(Inv_SY_B!BG37/Inv_SY_B!$CA37-1,"")</f>
        <v/>
      </c>
      <c r="BH37" s="177" t="str">
        <f>IFERROR(Inv_SY_B!BH37/Inv_SY_B!$CA37-1,"")</f>
        <v/>
      </c>
      <c r="BI37" s="177" t="str">
        <f>IFERROR(Inv_SY_B!BI37/Inv_SY_B!$CA37-1,"")</f>
        <v/>
      </c>
      <c r="BJ37" s="177" t="str">
        <f>IFERROR(Inv_SY_B!BJ37/Inv_SY_B!$CA37-1,"")</f>
        <v/>
      </c>
      <c r="BK37" s="177" t="str">
        <f>IFERROR(Inv_SY_B!BK37/Inv_SY_B!$CA37-1,"")</f>
        <v/>
      </c>
      <c r="BL37" s="177" t="str">
        <f>IFERROR(Inv_SY_B!BL37/Inv_SY_B!$CA37-1,"")</f>
        <v/>
      </c>
      <c r="BM37" s="177" t="str">
        <f>IFERROR(Inv_SY_B!BM37/Inv_SY_B!$CA37-1,"")</f>
        <v/>
      </c>
      <c r="BN37" s="177" t="str">
        <f>IFERROR(Inv_SY_B!BN37/Inv_SY_B!$CA37-1,"")</f>
        <v/>
      </c>
      <c r="BO37" s="177" t="str">
        <f>IFERROR(Inv_SY_B!BO37/Inv_SY_B!$CA37-1,"")</f>
        <v/>
      </c>
      <c r="BP37" s="177" t="str">
        <f>IFERROR(Inv_SY_B!BP37/Inv_SY_B!$CA37-1,"")</f>
        <v/>
      </c>
      <c r="BQ37" s="177" t="str">
        <f>IFERROR(Inv_SY_B!BQ37/Inv_SY_B!$CA37-1,"")</f>
        <v/>
      </c>
      <c r="BR37" s="177" t="str">
        <f>IFERROR(Inv_SY_B!BR37/Inv_SY_B!$CA37-1,"")</f>
        <v/>
      </c>
      <c r="BS37" s="177" t="str">
        <f>IFERROR(Inv_SY_B!BS37/Inv_SY_B!$CA37-1,"")</f>
        <v/>
      </c>
      <c r="BT37" s="177" t="str">
        <f>IFERROR(Inv_SY_B!BT37/Inv_SY_B!$CA37-1,"")</f>
        <v/>
      </c>
      <c r="BU37" s="177" t="str">
        <f>IFERROR(Inv_SY_B!BU37/Inv_SY_B!$CA37-1,"")</f>
        <v/>
      </c>
      <c r="BV37" s="177" t="str">
        <f>IFERROR(Inv_SY_B!BV37/Inv_SY_B!$CA37-1,"")</f>
        <v/>
      </c>
      <c r="BW37" s="177" t="str">
        <f>IFERROR(Inv_SY_B!BW37/Inv_SY_B!$CA37-1,"")</f>
        <v/>
      </c>
      <c r="BX37" s="177" t="str">
        <f>IFERROR(Inv_SY_B!BX37/Inv_SY_B!$CA37-1,"")</f>
        <v/>
      </c>
    </row>
    <row r="38" spans="1:76">
      <c r="B38" s="173">
        <f t="shared" si="2"/>
        <v>45871</v>
      </c>
      <c r="C38" s="177" t="str">
        <f>IFERROR(Inv_SY_B!C38/Inv_SY_B!$BY38-1,"")</f>
        <v/>
      </c>
      <c r="D38" s="177" t="str">
        <f>IFERROR(Inv_SY_B!D38/Inv_SY_B!$BY38-1,"")</f>
        <v/>
      </c>
      <c r="E38" s="177" t="str">
        <f>IFERROR(Inv_SY_B!E38/Inv_SY_B!$BY38-1,"")</f>
        <v/>
      </c>
      <c r="F38" s="177" t="str">
        <f>IFERROR(Inv_SY_B!F38/Inv_SY_B!$BY38-1,"")</f>
        <v/>
      </c>
      <c r="G38" s="177" t="str">
        <f>IFERROR(Inv_SY_B!G38/Inv_SY_B!$BY38-1,"")</f>
        <v/>
      </c>
      <c r="H38" s="177" t="str">
        <f>IFERROR(Inv_SY_B!H38/Inv_SY_B!$BY38-1,"")</f>
        <v/>
      </c>
      <c r="I38" s="177" t="str">
        <f>IFERROR(Inv_SY_B!I38/Inv_SY_B!$BY38-1,"")</f>
        <v/>
      </c>
      <c r="J38" s="177" t="str">
        <f>IFERROR(Inv_SY_B!J38/Inv_SY_B!$BY38-1,"")</f>
        <v/>
      </c>
      <c r="K38" s="177" t="str">
        <f>IFERROR(Inv_SY_B!K38/Inv_SY_B!$BY38-1,"")</f>
        <v/>
      </c>
      <c r="L38" s="177" t="str">
        <f>IFERROR(Inv_SY_B!L38/Inv_SY_B!$BY38-1,"")</f>
        <v/>
      </c>
      <c r="M38" s="177" t="str">
        <f>IFERROR(Inv_SY_B!M38/Inv_SY_B!$BY38-1,"")</f>
        <v/>
      </c>
      <c r="N38" s="177" t="str">
        <f>IFERROR(Inv_SY_B!N38/Inv_SY_B!$BY38-1,"")</f>
        <v/>
      </c>
      <c r="O38" s="177" t="str">
        <f>IFERROR(Inv_SY_B!O38/Inv_SY_B!$BY38-1,"")</f>
        <v/>
      </c>
      <c r="P38" s="177" t="str">
        <f>IFERROR(Inv_SY_B!P38/Inv_SY_B!$BY38-1,"")</f>
        <v/>
      </c>
      <c r="Q38" s="177" t="str">
        <f>IFERROR(Inv_SY_B!Q38/Inv_SY_B!$BY38-1,"")</f>
        <v/>
      </c>
      <c r="R38" s="177" t="str">
        <f>IFERROR(Inv_SY_B!R38/Inv_SY_B!$BY38-1,"")</f>
        <v/>
      </c>
      <c r="S38" s="177" t="str">
        <f>IFERROR(Inv_SY_B!S38/Inv_SY_B!$BY38-1,"")</f>
        <v/>
      </c>
      <c r="T38" s="177" t="str">
        <f>IFERROR(Inv_SY_B!T38/Inv_SY_B!$BY38-1,"")</f>
        <v/>
      </c>
      <c r="U38" s="177" t="str">
        <f>IFERROR(Inv_SY_B!U38/Inv_SY_B!$BY38-1,"")</f>
        <v/>
      </c>
      <c r="V38" s="177" t="str">
        <f>IFERROR(Inv_SY_B!V38/Inv_SY_B!$BY38-1,"")</f>
        <v/>
      </c>
      <c r="W38" s="177" t="str">
        <f>IFERROR(Inv_SY_B!W38/Inv_SY_B!$BY38-1,"")</f>
        <v/>
      </c>
      <c r="X38" s="177" t="str">
        <f>IFERROR(Inv_SY_B!X38/Inv_SY_B!$BY38-1,"")</f>
        <v/>
      </c>
      <c r="Y38" s="177" t="str">
        <f>IFERROR(Inv_SY_B!Y38/Inv_SY_B!$BY38-1,"")</f>
        <v/>
      </c>
      <c r="Z38" s="177" t="str">
        <f>IFERROR(Inv_SY_B!Z38/Inv_SY_B!$BY38-1,"")</f>
        <v/>
      </c>
      <c r="AA38" s="177" t="str">
        <f>IFERROR(Inv_SY_B!AA38/Inv_SY_B!$BY38-1,"")</f>
        <v/>
      </c>
      <c r="AB38" s="177" t="str">
        <f>IFERROR(Inv_SY_B!AB38/Inv_SY_B!$BY38-1,"")</f>
        <v/>
      </c>
      <c r="AC38" s="177" t="str">
        <f>IFERROR(Inv_SY_B!AC38/Inv_SY_B!$BY38-1,"")</f>
        <v/>
      </c>
      <c r="AD38" s="177" t="str">
        <f>IFERROR(Inv_SY_B!AD38/Inv_SY_B!$BY38-1,"")</f>
        <v/>
      </c>
      <c r="AE38" s="177" t="str">
        <f>IFERROR(Inv_SY_B!AE38/Inv_SY_B!$BZ38-1,"")</f>
        <v/>
      </c>
      <c r="AF38" s="177" t="str">
        <f>IFERROR(Inv_SY_B!AF38/Inv_SY_B!$BZ38-1,"")</f>
        <v/>
      </c>
      <c r="AG38" s="177" t="str">
        <f>IFERROR(Inv_SY_B!AG38/Inv_SY_B!$BZ38-1,"")</f>
        <v/>
      </c>
      <c r="AH38" s="177" t="str">
        <f>IFERROR(Inv_SY_B!AH38/Inv_SY_B!$BZ38-1,"")</f>
        <v/>
      </c>
      <c r="AI38" s="177" t="str">
        <f>IFERROR(Inv_SY_B!AI38/Inv_SY_B!$BZ38-1,"")</f>
        <v/>
      </c>
      <c r="AJ38" s="177" t="str">
        <f>IFERROR(Inv_SY_B!AJ38/Inv_SY_B!$BZ38-1,"")</f>
        <v/>
      </c>
      <c r="AK38" s="177" t="str">
        <f>IFERROR(Inv_SY_B!AK38/Inv_SY_B!$BZ38-1,"")</f>
        <v/>
      </c>
      <c r="AL38" s="177" t="str">
        <f>IFERROR(Inv_SY_B!AL38/Inv_SY_B!$BZ38-1,"")</f>
        <v/>
      </c>
      <c r="AM38" s="177" t="str">
        <f>IFERROR(Inv_SY_B!AM38/Inv_SY_B!$BZ38-1,"")</f>
        <v/>
      </c>
      <c r="AN38" s="177" t="str">
        <f>IFERROR(Inv_SY_B!AN38/Inv_SY_B!$BZ38-1,"")</f>
        <v/>
      </c>
      <c r="AO38" s="177" t="str">
        <f>IFERROR(Inv_SY_B!AO38/Inv_SY_B!$BZ38-1,"")</f>
        <v/>
      </c>
      <c r="AP38" s="177" t="str">
        <f>IFERROR(Inv_SY_B!AP38/Inv_SY_B!$BZ38-1,"")</f>
        <v/>
      </c>
      <c r="AQ38" s="177" t="str">
        <f>IFERROR(Inv_SY_B!AQ38/Inv_SY_B!$BZ38-1,"")</f>
        <v/>
      </c>
      <c r="AR38" s="177" t="str">
        <f>IFERROR(Inv_SY_B!AR38/Inv_SY_B!$BZ38-1,"")</f>
        <v/>
      </c>
      <c r="AS38" s="177" t="str">
        <f>IFERROR(Inv_SY_B!AS38/Inv_SY_B!$BZ38-1,"")</f>
        <v/>
      </c>
      <c r="AT38" s="177" t="str">
        <f>IFERROR(Inv_SY_B!AT38/Inv_SY_B!$BZ38-1,"")</f>
        <v/>
      </c>
      <c r="AU38" s="177" t="str">
        <f>IFERROR(Inv_SY_B!AU38/Inv_SY_B!$BZ38-1,"")</f>
        <v/>
      </c>
      <c r="AV38" s="177" t="str">
        <f>IFERROR(Inv_SY_B!AV38/Inv_SY_B!$BZ38-1,"")</f>
        <v/>
      </c>
      <c r="AW38" s="177" t="str">
        <f>IFERROR(Inv_SY_B!AW38/Inv_SY_B!$CA38-1,"")</f>
        <v/>
      </c>
      <c r="AX38" s="177" t="str">
        <f>IFERROR(Inv_SY_B!AX38/Inv_SY_B!$CA38-1,"")</f>
        <v/>
      </c>
      <c r="AY38" s="177" t="str">
        <f>IFERROR(Inv_SY_B!AY38/Inv_SY_B!$CA38-1,"")</f>
        <v/>
      </c>
      <c r="AZ38" s="177" t="str">
        <f>IFERROR(Inv_SY_B!AZ38/Inv_SY_B!$CA38-1,"")</f>
        <v/>
      </c>
      <c r="BA38" s="177" t="str">
        <f>IFERROR(Inv_SY_B!BA38/Inv_SY_B!$CA38-1,"")</f>
        <v/>
      </c>
      <c r="BB38" s="177" t="str">
        <f>IFERROR(Inv_SY_B!BB38/Inv_SY_B!$CA38-1,"")</f>
        <v/>
      </c>
      <c r="BC38" s="177" t="str">
        <f>IFERROR(Inv_SY_B!BC38/Inv_SY_B!$CA38-1,"")</f>
        <v/>
      </c>
      <c r="BD38" s="177" t="str">
        <f>IFERROR(Inv_SY_B!BD38/Inv_SY_B!$CA38-1,"")</f>
        <v/>
      </c>
      <c r="BE38" s="177" t="str">
        <f>IFERROR(Inv_SY_B!BE38/Inv_SY_B!$CA38-1,"")</f>
        <v/>
      </c>
      <c r="BF38" s="177" t="str">
        <f>IFERROR(Inv_SY_B!BF38/Inv_SY_B!$CA38-1,"")</f>
        <v/>
      </c>
      <c r="BG38" s="177" t="str">
        <f>IFERROR(Inv_SY_B!BG38/Inv_SY_B!$CA38-1,"")</f>
        <v/>
      </c>
      <c r="BH38" s="177" t="str">
        <f>IFERROR(Inv_SY_B!BH38/Inv_SY_B!$CA38-1,"")</f>
        <v/>
      </c>
      <c r="BI38" s="177" t="str">
        <f>IFERROR(Inv_SY_B!BI38/Inv_SY_B!$CA38-1,"")</f>
        <v/>
      </c>
      <c r="BJ38" s="177" t="str">
        <f>IFERROR(Inv_SY_B!BJ38/Inv_SY_B!$CA38-1,"")</f>
        <v/>
      </c>
      <c r="BK38" s="177" t="str">
        <f>IFERROR(Inv_SY_B!BK38/Inv_SY_B!$CA38-1,"")</f>
        <v/>
      </c>
      <c r="BL38" s="177" t="str">
        <f>IFERROR(Inv_SY_B!BL38/Inv_SY_B!$CA38-1,"")</f>
        <v/>
      </c>
      <c r="BM38" s="177" t="str">
        <f>IFERROR(Inv_SY_B!BM38/Inv_SY_B!$CA38-1,"")</f>
        <v/>
      </c>
      <c r="BN38" s="177" t="str">
        <f>IFERROR(Inv_SY_B!BN38/Inv_SY_B!$CA38-1,"")</f>
        <v/>
      </c>
      <c r="BO38" s="177" t="str">
        <f>IFERROR(Inv_SY_B!BO38/Inv_SY_B!$CA38-1,"")</f>
        <v/>
      </c>
      <c r="BP38" s="177" t="str">
        <f>IFERROR(Inv_SY_B!BP38/Inv_SY_B!$CA38-1,"")</f>
        <v/>
      </c>
      <c r="BQ38" s="177" t="str">
        <f>IFERROR(Inv_SY_B!BQ38/Inv_SY_B!$CA38-1,"")</f>
        <v/>
      </c>
      <c r="BR38" s="177" t="str">
        <f>IFERROR(Inv_SY_B!BR38/Inv_SY_B!$CA38-1,"")</f>
        <v/>
      </c>
      <c r="BS38" s="177" t="str">
        <f>IFERROR(Inv_SY_B!BS38/Inv_SY_B!$CA38-1,"")</f>
        <v/>
      </c>
      <c r="BT38" s="177" t="str">
        <f>IFERROR(Inv_SY_B!BT38/Inv_SY_B!$CA38-1,"")</f>
        <v/>
      </c>
      <c r="BU38" s="177" t="str">
        <f>IFERROR(Inv_SY_B!BU38/Inv_SY_B!$CA38-1,"")</f>
        <v/>
      </c>
      <c r="BV38" s="177" t="str">
        <f>IFERROR(Inv_SY_B!BV38/Inv_SY_B!$CA38-1,"")</f>
        <v/>
      </c>
      <c r="BW38" s="177" t="str">
        <f>IFERROR(Inv_SY_B!BW38/Inv_SY_B!$CA38-1,"")</f>
        <v/>
      </c>
      <c r="BX38" s="177" t="str">
        <f>IFERROR(Inv_SY_B!BX38/Inv_SY_B!$CA38-1,"")</f>
        <v/>
      </c>
    </row>
    <row r="39" spans="1:76">
      <c r="B39" s="173">
        <f t="shared" si="2"/>
        <v>45872</v>
      </c>
      <c r="C39" s="177" t="str">
        <f>IFERROR(Inv_SY_B!C39/Inv_SY_B!$BY39-1,"")</f>
        <v/>
      </c>
      <c r="D39" s="177" t="str">
        <f>IFERROR(Inv_SY_B!D39/Inv_SY_B!$BY39-1,"")</f>
        <v/>
      </c>
      <c r="E39" s="177" t="str">
        <f>IFERROR(Inv_SY_B!E39/Inv_SY_B!$BY39-1,"")</f>
        <v/>
      </c>
      <c r="F39" s="177" t="str">
        <f>IFERROR(Inv_SY_B!F39/Inv_SY_B!$BY39-1,"")</f>
        <v/>
      </c>
      <c r="G39" s="177" t="str">
        <f>IFERROR(Inv_SY_B!G39/Inv_SY_B!$BY39-1,"")</f>
        <v/>
      </c>
      <c r="H39" s="177" t="str">
        <f>IFERROR(Inv_SY_B!H39/Inv_SY_B!$BY39-1,"")</f>
        <v/>
      </c>
      <c r="I39" s="177" t="str">
        <f>IFERROR(Inv_SY_B!I39/Inv_SY_B!$BY39-1,"")</f>
        <v/>
      </c>
      <c r="J39" s="177" t="str">
        <f>IFERROR(Inv_SY_B!J39/Inv_SY_B!$BY39-1,"")</f>
        <v/>
      </c>
      <c r="K39" s="177" t="str">
        <f>IFERROR(Inv_SY_B!K39/Inv_SY_B!$BY39-1,"")</f>
        <v/>
      </c>
      <c r="L39" s="177" t="str">
        <f>IFERROR(Inv_SY_B!L39/Inv_SY_B!$BY39-1,"")</f>
        <v/>
      </c>
      <c r="M39" s="177" t="str">
        <f>IFERROR(Inv_SY_B!M39/Inv_SY_B!$BY39-1,"")</f>
        <v/>
      </c>
      <c r="N39" s="177" t="str">
        <f>IFERROR(Inv_SY_B!N39/Inv_SY_B!$BY39-1,"")</f>
        <v/>
      </c>
      <c r="O39" s="177" t="str">
        <f>IFERROR(Inv_SY_B!O39/Inv_SY_B!$BY39-1,"")</f>
        <v/>
      </c>
      <c r="P39" s="177" t="str">
        <f>IFERROR(Inv_SY_B!P39/Inv_SY_B!$BY39-1,"")</f>
        <v/>
      </c>
      <c r="Q39" s="177" t="str">
        <f>IFERROR(Inv_SY_B!Q39/Inv_SY_B!$BY39-1,"")</f>
        <v/>
      </c>
      <c r="R39" s="177" t="str">
        <f>IFERROR(Inv_SY_B!R39/Inv_SY_B!$BY39-1,"")</f>
        <v/>
      </c>
      <c r="S39" s="177" t="str">
        <f>IFERROR(Inv_SY_B!S39/Inv_SY_B!$BY39-1,"")</f>
        <v/>
      </c>
      <c r="T39" s="177" t="str">
        <f>IFERROR(Inv_SY_B!T39/Inv_SY_B!$BY39-1,"")</f>
        <v/>
      </c>
      <c r="U39" s="177" t="str">
        <f>IFERROR(Inv_SY_B!U39/Inv_SY_B!$BY39-1,"")</f>
        <v/>
      </c>
      <c r="V39" s="177" t="str">
        <f>IFERROR(Inv_SY_B!V39/Inv_SY_B!$BY39-1,"")</f>
        <v/>
      </c>
      <c r="W39" s="177" t="str">
        <f>IFERROR(Inv_SY_B!W39/Inv_SY_B!$BY39-1,"")</f>
        <v/>
      </c>
      <c r="X39" s="177" t="str">
        <f>IFERROR(Inv_SY_B!X39/Inv_SY_B!$BY39-1,"")</f>
        <v/>
      </c>
      <c r="Y39" s="177" t="str">
        <f>IFERROR(Inv_SY_B!Y39/Inv_SY_B!$BY39-1,"")</f>
        <v/>
      </c>
      <c r="Z39" s="177" t="str">
        <f>IFERROR(Inv_SY_B!Z39/Inv_SY_B!$BY39-1,"")</f>
        <v/>
      </c>
      <c r="AA39" s="177" t="str">
        <f>IFERROR(Inv_SY_B!AA39/Inv_SY_B!$BY39-1,"")</f>
        <v/>
      </c>
      <c r="AB39" s="177" t="str">
        <f>IFERROR(Inv_SY_B!AB39/Inv_SY_B!$BY39-1,"")</f>
        <v/>
      </c>
      <c r="AC39" s="177" t="str">
        <f>IFERROR(Inv_SY_B!AC39/Inv_SY_B!$BY39-1,"")</f>
        <v/>
      </c>
      <c r="AD39" s="177" t="str">
        <f>IFERROR(Inv_SY_B!AD39/Inv_SY_B!$BY39-1,"")</f>
        <v/>
      </c>
      <c r="AE39" s="177" t="str">
        <f>IFERROR(Inv_SY_B!AE39/Inv_SY_B!$BZ39-1,"")</f>
        <v/>
      </c>
      <c r="AF39" s="177" t="str">
        <f>IFERROR(Inv_SY_B!AF39/Inv_SY_B!$BZ39-1,"")</f>
        <v/>
      </c>
      <c r="AG39" s="177" t="str">
        <f>IFERROR(Inv_SY_B!AG39/Inv_SY_B!$BZ39-1,"")</f>
        <v/>
      </c>
      <c r="AH39" s="177" t="str">
        <f>IFERROR(Inv_SY_B!AH39/Inv_SY_B!$BZ39-1,"")</f>
        <v/>
      </c>
      <c r="AI39" s="177" t="str">
        <f>IFERROR(Inv_SY_B!AI39/Inv_SY_B!$BZ39-1,"")</f>
        <v/>
      </c>
      <c r="AJ39" s="177" t="str">
        <f>IFERROR(Inv_SY_B!AJ39/Inv_SY_B!$BZ39-1,"")</f>
        <v/>
      </c>
      <c r="AK39" s="177" t="str">
        <f>IFERROR(Inv_SY_B!AK39/Inv_SY_B!$BZ39-1,"")</f>
        <v/>
      </c>
      <c r="AL39" s="177" t="str">
        <f>IFERROR(Inv_SY_B!AL39/Inv_SY_B!$BZ39-1,"")</f>
        <v/>
      </c>
      <c r="AM39" s="177" t="str">
        <f>IFERROR(Inv_SY_B!AM39/Inv_SY_B!$BZ39-1,"")</f>
        <v/>
      </c>
      <c r="AN39" s="177" t="str">
        <f>IFERROR(Inv_SY_B!AN39/Inv_SY_B!$BZ39-1,"")</f>
        <v/>
      </c>
      <c r="AO39" s="177" t="str">
        <f>IFERROR(Inv_SY_B!AO39/Inv_SY_B!$BZ39-1,"")</f>
        <v/>
      </c>
      <c r="AP39" s="177" t="str">
        <f>IFERROR(Inv_SY_B!AP39/Inv_SY_B!$BZ39-1,"")</f>
        <v/>
      </c>
      <c r="AQ39" s="177" t="str">
        <f>IFERROR(Inv_SY_B!AQ39/Inv_SY_B!$BZ39-1,"")</f>
        <v/>
      </c>
      <c r="AR39" s="177" t="str">
        <f>IFERROR(Inv_SY_B!AR39/Inv_SY_B!$BZ39-1,"")</f>
        <v/>
      </c>
      <c r="AS39" s="177" t="str">
        <f>IFERROR(Inv_SY_B!AS39/Inv_SY_B!$BZ39-1,"")</f>
        <v/>
      </c>
      <c r="AT39" s="177" t="str">
        <f>IFERROR(Inv_SY_B!AT39/Inv_SY_B!$BZ39-1,"")</f>
        <v/>
      </c>
      <c r="AU39" s="177" t="str">
        <f>IFERROR(Inv_SY_B!AU39/Inv_SY_B!$BZ39-1,"")</f>
        <v/>
      </c>
      <c r="AV39" s="177" t="str">
        <f>IFERROR(Inv_SY_B!AV39/Inv_SY_B!$BZ39-1,"")</f>
        <v/>
      </c>
      <c r="AW39" s="177" t="str">
        <f>IFERROR(Inv_SY_B!AW39/Inv_SY_B!$CA39-1,"")</f>
        <v/>
      </c>
      <c r="AX39" s="177" t="str">
        <f>IFERROR(Inv_SY_B!AX39/Inv_SY_B!$CA39-1,"")</f>
        <v/>
      </c>
      <c r="AY39" s="177" t="str">
        <f>IFERROR(Inv_SY_B!AY39/Inv_SY_B!$CA39-1,"")</f>
        <v/>
      </c>
      <c r="AZ39" s="177" t="str">
        <f>IFERROR(Inv_SY_B!AZ39/Inv_SY_B!$CA39-1,"")</f>
        <v/>
      </c>
      <c r="BA39" s="177" t="str">
        <f>IFERROR(Inv_SY_B!BA39/Inv_SY_B!$CA39-1,"")</f>
        <v/>
      </c>
      <c r="BB39" s="177" t="str">
        <f>IFERROR(Inv_SY_B!BB39/Inv_SY_B!$CA39-1,"")</f>
        <v/>
      </c>
      <c r="BC39" s="177" t="str">
        <f>IFERROR(Inv_SY_B!BC39/Inv_SY_B!$CA39-1,"")</f>
        <v/>
      </c>
      <c r="BD39" s="177" t="str">
        <f>IFERROR(Inv_SY_B!BD39/Inv_SY_B!$CA39-1,"")</f>
        <v/>
      </c>
      <c r="BE39" s="177" t="str">
        <f>IFERROR(Inv_SY_B!BE39/Inv_SY_B!$CA39-1,"")</f>
        <v/>
      </c>
      <c r="BF39" s="177" t="str">
        <f>IFERROR(Inv_SY_B!BF39/Inv_SY_B!$CA39-1,"")</f>
        <v/>
      </c>
      <c r="BG39" s="177" t="str">
        <f>IFERROR(Inv_SY_B!BG39/Inv_SY_B!$CA39-1,"")</f>
        <v/>
      </c>
      <c r="BH39" s="177" t="str">
        <f>IFERROR(Inv_SY_B!BH39/Inv_SY_B!$CA39-1,"")</f>
        <v/>
      </c>
      <c r="BI39" s="177" t="str">
        <f>IFERROR(Inv_SY_B!BI39/Inv_SY_B!$CA39-1,"")</f>
        <v/>
      </c>
      <c r="BJ39" s="177" t="str">
        <f>IFERROR(Inv_SY_B!BJ39/Inv_SY_B!$CA39-1,"")</f>
        <v/>
      </c>
      <c r="BK39" s="177" t="str">
        <f>IFERROR(Inv_SY_B!BK39/Inv_SY_B!$CA39-1,"")</f>
        <v/>
      </c>
      <c r="BL39" s="177" t="str">
        <f>IFERROR(Inv_SY_B!BL39/Inv_SY_B!$CA39-1,"")</f>
        <v/>
      </c>
      <c r="BM39" s="177" t="str">
        <f>IFERROR(Inv_SY_B!BM39/Inv_SY_B!$CA39-1,"")</f>
        <v/>
      </c>
      <c r="BN39" s="177" t="str">
        <f>IFERROR(Inv_SY_B!BN39/Inv_SY_B!$CA39-1,"")</f>
        <v/>
      </c>
      <c r="BO39" s="177" t="str">
        <f>IFERROR(Inv_SY_B!BO39/Inv_SY_B!$CA39-1,"")</f>
        <v/>
      </c>
      <c r="BP39" s="177" t="str">
        <f>IFERROR(Inv_SY_B!BP39/Inv_SY_B!$CA39-1,"")</f>
        <v/>
      </c>
      <c r="BQ39" s="177" t="str">
        <f>IFERROR(Inv_SY_B!BQ39/Inv_SY_B!$CA39-1,"")</f>
        <v/>
      </c>
      <c r="BR39" s="177" t="str">
        <f>IFERROR(Inv_SY_B!BR39/Inv_SY_B!$CA39-1,"")</f>
        <v/>
      </c>
      <c r="BS39" s="177" t="str">
        <f>IFERROR(Inv_SY_B!BS39/Inv_SY_B!$CA39-1,"")</f>
        <v/>
      </c>
      <c r="BT39" s="177" t="str">
        <f>IFERROR(Inv_SY_B!BT39/Inv_SY_B!$CA39-1,"")</f>
        <v/>
      </c>
      <c r="BU39" s="177" t="str">
        <f>IFERROR(Inv_SY_B!BU39/Inv_SY_B!$CA39-1,"")</f>
        <v/>
      </c>
      <c r="BV39" s="177" t="str">
        <f>IFERROR(Inv_SY_B!BV39/Inv_SY_B!$CA39-1,"")</f>
        <v/>
      </c>
      <c r="BW39" s="177" t="str">
        <f>IFERROR(Inv_SY_B!BW39/Inv_SY_B!$CA39-1,"")</f>
        <v/>
      </c>
      <c r="BX39" s="177" t="str">
        <f>IFERROR(Inv_SY_B!BX39/Inv_SY_B!$CA39-1,"")</f>
        <v/>
      </c>
    </row>
    <row r="40" spans="1:76">
      <c r="B40" s="173">
        <f t="shared" si="2"/>
        <v>45873</v>
      </c>
      <c r="C40" s="177" t="str">
        <f>IFERROR(Inv_SY_B!C40/Inv_SY_B!$BY40-1,"")</f>
        <v/>
      </c>
      <c r="D40" s="177" t="str">
        <f>IFERROR(Inv_SY_B!D40/Inv_SY_B!$BY40-1,"")</f>
        <v/>
      </c>
      <c r="E40" s="177" t="str">
        <f>IFERROR(Inv_SY_B!E40/Inv_SY_B!$BY40-1,"")</f>
        <v/>
      </c>
      <c r="F40" s="177" t="str">
        <f>IFERROR(Inv_SY_B!F40/Inv_SY_B!$BY40-1,"")</f>
        <v/>
      </c>
      <c r="G40" s="177" t="str">
        <f>IFERROR(Inv_SY_B!G40/Inv_SY_B!$BY40-1,"")</f>
        <v/>
      </c>
      <c r="H40" s="177" t="str">
        <f>IFERROR(Inv_SY_B!H40/Inv_SY_B!$BY40-1,"")</f>
        <v/>
      </c>
      <c r="I40" s="177" t="str">
        <f>IFERROR(Inv_SY_B!I40/Inv_SY_B!$BY40-1,"")</f>
        <v/>
      </c>
      <c r="J40" s="177" t="str">
        <f>IFERROR(Inv_SY_B!J40/Inv_SY_B!$BY40-1,"")</f>
        <v/>
      </c>
      <c r="K40" s="177" t="str">
        <f>IFERROR(Inv_SY_B!K40/Inv_SY_B!$BY40-1,"")</f>
        <v/>
      </c>
      <c r="L40" s="177" t="str">
        <f>IFERROR(Inv_SY_B!L40/Inv_SY_B!$BY40-1,"")</f>
        <v/>
      </c>
      <c r="M40" s="177" t="str">
        <f>IFERROR(Inv_SY_B!M40/Inv_SY_B!$BY40-1,"")</f>
        <v/>
      </c>
      <c r="N40" s="177" t="str">
        <f>IFERROR(Inv_SY_B!N40/Inv_SY_B!$BY40-1,"")</f>
        <v/>
      </c>
      <c r="O40" s="177" t="str">
        <f>IFERROR(Inv_SY_B!O40/Inv_SY_B!$BY40-1,"")</f>
        <v/>
      </c>
      <c r="P40" s="177" t="str">
        <f>IFERROR(Inv_SY_B!P40/Inv_SY_B!$BY40-1,"")</f>
        <v/>
      </c>
      <c r="Q40" s="177" t="str">
        <f>IFERROR(Inv_SY_B!Q40/Inv_SY_B!$BY40-1,"")</f>
        <v/>
      </c>
      <c r="R40" s="177" t="str">
        <f>IFERROR(Inv_SY_B!R40/Inv_SY_B!$BY40-1,"")</f>
        <v/>
      </c>
      <c r="S40" s="177" t="str">
        <f>IFERROR(Inv_SY_B!S40/Inv_SY_B!$BY40-1,"")</f>
        <v/>
      </c>
      <c r="T40" s="177" t="str">
        <f>IFERROR(Inv_SY_B!T40/Inv_SY_B!$BY40-1,"")</f>
        <v/>
      </c>
      <c r="U40" s="177" t="str">
        <f>IFERROR(Inv_SY_B!U40/Inv_SY_B!$BY40-1,"")</f>
        <v/>
      </c>
      <c r="V40" s="177" t="str">
        <f>IFERROR(Inv_SY_B!V40/Inv_SY_B!$BY40-1,"")</f>
        <v/>
      </c>
      <c r="W40" s="177" t="str">
        <f>IFERROR(Inv_SY_B!W40/Inv_SY_B!$BY40-1,"")</f>
        <v/>
      </c>
      <c r="X40" s="177" t="str">
        <f>IFERROR(Inv_SY_B!X40/Inv_SY_B!$BY40-1,"")</f>
        <v/>
      </c>
      <c r="Y40" s="177" t="str">
        <f>IFERROR(Inv_SY_B!Y40/Inv_SY_B!$BY40-1,"")</f>
        <v/>
      </c>
      <c r="Z40" s="177" t="str">
        <f>IFERROR(Inv_SY_B!Z40/Inv_SY_B!$BY40-1,"")</f>
        <v/>
      </c>
      <c r="AA40" s="177" t="str">
        <f>IFERROR(Inv_SY_B!AA40/Inv_SY_B!$BY40-1,"")</f>
        <v/>
      </c>
      <c r="AB40" s="177" t="str">
        <f>IFERROR(Inv_SY_B!AB40/Inv_SY_B!$BY40-1,"")</f>
        <v/>
      </c>
      <c r="AC40" s="177" t="str">
        <f>IFERROR(Inv_SY_B!AC40/Inv_SY_B!$BY40-1,"")</f>
        <v/>
      </c>
      <c r="AD40" s="177" t="str">
        <f>IFERROR(Inv_SY_B!AD40/Inv_SY_B!$BY40-1,"")</f>
        <v/>
      </c>
      <c r="AE40" s="177" t="str">
        <f>IFERROR(Inv_SY_B!AE40/Inv_SY_B!$BZ40-1,"")</f>
        <v/>
      </c>
      <c r="AF40" s="177" t="str">
        <f>IFERROR(Inv_SY_B!AF40/Inv_SY_B!$BZ40-1,"")</f>
        <v/>
      </c>
      <c r="AG40" s="177" t="str">
        <f>IFERROR(Inv_SY_B!AG40/Inv_SY_B!$BZ40-1,"")</f>
        <v/>
      </c>
      <c r="AH40" s="177" t="str">
        <f>IFERROR(Inv_SY_B!AH40/Inv_SY_B!$BZ40-1,"")</f>
        <v/>
      </c>
      <c r="AI40" s="177" t="str">
        <f>IFERROR(Inv_SY_B!AI40/Inv_SY_B!$BZ40-1,"")</f>
        <v/>
      </c>
      <c r="AJ40" s="177" t="str">
        <f>IFERROR(Inv_SY_B!AJ40/Inv_SY_B!$BZ40-1,"")</f>
        <v/>
      </c>
      <c r="AK40" s="177" t="str">
        <f>IFERROR(Inv_SY_B!AK40/Inv_SY_B!$BZ40-1,"")</f>
        <v/>
      </c>
      <c r="AL40" s="177" t="str">
        <f>IFERROR(Inv_SY_B!AL40/Inv_SY_B!$BZ40-1,"")</f>
        <v/>
      </c>
      <c r="AM40" s="177" t="str">
        <f>IFERROR(Inv_SY_B!AM40/Inv_SY_B!$BZ40-1,"")</f>
        <v/>
      </c>
      <c r="AN40" s="177" t="str">
        <f>IFERROR(Inv_SY_B!AN40/Inv_SY_B!$BZ40-1,"")</f>
        <v/>
      </c>
      <c r="AO40" s="177" t="str">
        <f>IFERROR(Inv_SY_B!AO40/Inv_SY_B!$BZ40-1,"")</f>
        <v/>
      </c>
      <c r="AP40" s="177" t="str">
        <f>IFERROR(Inv_SY_B!AP40/Inv_SY_B!$BZ40-1,"")</f>
        <v/>
      </c>
      <c r="AQ40" s="177" t="str">
        <f>IFERROR(Inv_SY_B!AQ40/Inv_SY_B!$BZ40-1,"")</f>
        <v/>
      </c>
      <c r="AR40" s="177" t="str">
        <f>IFERROR(Inv_SY_B!AR40/Inv_SY_B!$BZ40-1,"")</f>
        <v/>
      </c>
      <c r="AS40" s="177" t="str">
        <f>IFERROR(Inv_SY_B!AS40/Inv_SY_B!$BZ40-1,"")</f>
        <v/>
      </c>
      <c r="AT40" s="177" t="str">
        <f>IFERROR(Inv_SY_B!AT40/Inv_SY_B!$BZ40-1,"")</f>
        <v/>
      </c>
      <c r="AU40" s="177" t="str">
        <f>IFERROR(Inv_SY_B!AU40/Inv_SY_B!$BZ40-1,"")</f>
        <v/>
      </c>
      <c r="AV40" s="177" t="str">
        <f>IFERROR(Inv_SY_B!AV40/Inv_SY_B!$BZ40-1,"")</f>
        <v/>
      </c>
      <c r="AW40" s="177" t="str">
        <f>IFERROR(Inv_SY_B!AW40/Inv_SY_B!$CA40-1,"")</f>
        <v/>
      </c>
      <c r="AX40" s="177" t="str">
        <f>IFERROR(Inv_SY_B!AX40/Inv_SY_B!$CA40-1,"")</f>
        <v/>
      </c>
      <c r="AY40" s="177" t="str">
        <f>IFERROR(Inv_SY_B!AY40/Inv_SY_B!$CA40-1,"")</f>
        <v/>
      </c>
      <c r="AZ40" s="177" t="str">
        <f>IFERROR(Inv_SY_B!AZ40/Inv_SY_B!$CA40-1,"")</f>
        <v/>
      </c>
      <c r="BA40" s="177" t="str">
        <f>IFERROR(Inv_SY_B!BA40/Inv_SY_B!$CA40-1,"")</f>
        <v/>
      </c>
      <c r="BB40" s="177" t="str">
        <f>IFERROR(Inv_SY_B!BB40/Inv_SY_B!$CA40-1,"")</f>
        <v/>
      </c>
      <c r="BC40" s="177" t="str">
        <f>IFERROR(Inv_SY_B!BC40/Inv_SY_B!$CA40-1,"")</f>
        <v/>
      </c>
      <c r="BD40" s="177" t="str">
        <f>IFERROR(Inv_SY_B!BD40/Inv_SY_B!$CA40-1,"")</f>
        <v/>
      </c>
      <c r="BE40" s="177" t="str">
        <f>IFERROR(Inv_SY_B!BE40/Inv_SY_B!$CA40-1,"")</f>
        <v/>
      </c>
      <c r="BF40" s="177" t="str">
        <f>IFERROR(Inv_SY_B!BF40/Inv_SY_B!$CA40-1,"")</f>
        <v/>
      </c>
      <c r="BG40" s="177" t="str">
        <f>IFERROR(Inv_SY_B!BG40/Inv_SY_B!$CA40-1,"")</f>
        <v/>
      </c>
      <c r="BH40" s="177" t="str">
        <f>IFERROR(Inv_SY_B!BH40/Inv_SY_B!$CA40-1,"")</f>
        <v/>
      </c>
      <c r="BI40" s="177" t="str">
        <f>IFERROR(Inv_SY_B!BI40/Inv_SY_B!$CA40-1,"")</f>
        <v/>
      </c>
      <c r="BJ40" s="177" t="str">
        <f>IFERROR(Inv_SY_B!BJ40/Inv_SY_B!$CA40-1,"")</f>
        <v/>
      </c>
      <c r="BK40" s="177" t="str">
        <f>IFERROR(Inv_SY_B!BK40/Inv_SY_B!$CA40-1,"")</f>
        <v/>
      </c>
      <c r="BL40" s="177" t="str">
        <f>IFERROR(Inv_SY_B!BL40/Inv_SY_B!$CA40-1,"")</f>
        <v/>
      </c>
      <c r="BM40" s="177" t="str">
        <f>IFERROR(Inv_SY_B!BM40/Inv_SY_B!$CA40-1,"")</f>
        <v/>
      </c>
      <c r="BN40" s="177" t="str">
        <f>IFERROR(Inv_SY_B!BN40/Inv_SY_B!$CA40-1,"")</f>
        <v/>
      </c>
      <c r="BO40" s="177" t="str">
        <f>IFERROR(Inv_SY_B!BO40/Inv_SY_B!$CA40-1,"")</f>
        <v/>
      </c>
      <c r="BP40" s="177" t="str">
        <f>IFERROR(Inv_SY_B!BP40/Inv_SY_B!$CA40-1,"")</f>
        <v/>
      </c>
      <c r="BQ40" s="177" t="str">
        <f>IFERROR(Inv_SY_B!BQ40/Inv_SY_B!$CA40-1,"")</f>
        <v/>
      </c>
      <c r="BR40" s="177" t="str">
        <f>IFERROR(Inv_SY_B!BR40/Inv_SY_B!$CA40-1,"")</f>
        <v/>
      </c>
      <c r="BS40" s="177" t="str">
        <f>IFERROR(Inv_SY_B!BS40/Inv_SY_B!$CA40-1,"")</f>
        <v/>
      </c>
      <c r="BT40" s="177" t="str">
        <f>IFERROR(Inv_SY_B!BT40/Inv_SY_B!$CA40-1,"")</f>
        <v/>
      </c>
      <c r="BU40" s="177" t="str">
        <f>IFERROR(Inv_SY_B!BU40/Inv_SY_B!$CA40-1,"")</f>
        <v/>
      </c>
      <c r="BV40" s="177" t="str">
        <f>IFERROR(Inv_SY_B!BV40/Inv_SY_B!$CA40-1,"")</f>
        <v/>
      </c>
      <c r="BW40" s="177" t="str">
        <f>IFERROR(Inv_SY_B!BW40/Inv_SY_B!$CA40-1,"")</f>
        <v/>
      </c>
      <c r="BX40" s="177" t="str">
        <f>IFERROR(Inv_SY_B!BX40/Inv_SY_B!$CA40-1,"")</f>
        <v/>
      </c>
    </row>
    <row r="41" spans="1:76">
      <c r="B41" s="173">
        <f t="shared" si="2"/>
        <v>45874</v>
      </c>
      <c r="C41" s="177" t="str">
        <f>IFERROR(Inv_SY_B!C41/Inv_SY_B!$BY41-1,"")</f>
        <v/>
      </c>
      <c r="D41" s="177" t="str">
        <f>IFERROR(Inv_SY_B!D41/Inv_SY_B!$BY41-1,"")</f>
        <v/>
      </c>
      <c r="E41" s="177" t="str">
        <f>IFERROR(Inv_SY_B!E41/Inv_SY_B!$BY41-1,"")</f>
        <v/>
      </c>
      <c r="F41" s="177" t="str">
        <f>IFERROR(Inv_SY_B!F41/Inv_SY_B!$BY41-1,"")</f>
        <v/>
      </c>
      <c r="G41" s="177" t="str">
        <f>IFERROR(Inv_SY_B!G41/Inv_SY_B!$BY41-1,"")</f>
        <v/>
      </c>
      <c r="H41" s="177" t="str">
        <f>IFERROR(Inv_SY_B!H41/Inv_SY_B!$BY41-1,"")</f>
        <v/>
      </c>
      <c r="I41" s="177" t="str">
        <f>IFERROR(Inv_SY_B!I41/Inv_SY_B!$BY41-1,"")</f>
        <v/>
      </c>
      <c r="J41" s="177" t="str">
        <f>IFERROR(Inv_SY_B!J41/Inv_SY_B!$BY41-1,"")</f>
        <v/>
      </c>
      <c r="K41" s="177" t="str">
        <f>IFERROR(Inv_SY_B!K41/Inv_SY_B!$BY41-1,"")</f>
        <v/>
      </c>
      <c r="L41" s="177" t="str">
        <f>IFERROR(Inv_SY_B!L41/Inv_SY_B!$BY41-1,"")</f>
        <v/>
      </c>
      <c r="M41" s="177" t="str">
        <f>IFERROR(Inv_SY_B!M41/Inv_SY_B!$BY41-1,"")</f>
        <v/>
      </c>
      <c r="N41" s="177" t="str">
        <f>IFERROR(Inv_SY_B!N41/Inv_SY_B!$BY41-1,"")</f>
        <v/>
      </c>
      <c r="O41" s="177" t="str">
        <f>IFERROR(Inv_SY_B!O41/Inv_SY_B!$BY41-1,"")</f>
        <v/>
      </c>
      <c r="P41" s="177" t="str">
        <f>IFERROR(Inv_SY_B!P41/Inv_SY_B!$BY41-1,"")</f>
        <v/>
      </c>
      <c r="Q41" s="177" t="str">
        <f>IFERROR(Inv_SY_B!Q41/Inv_SY_B!$BY41-1,"")</f>
        <v/>
      </c>
      <c r="R41" s="177" t="str">
        <f>IFERROR(Inv_SY_B!R41/Inv_SY_B!$BY41-1,"")</f>
        <v/>
      </c>
      <c r="S41" s="177" t="str">
        <f>IFERROR(Inv_SY_B!S41/Inv_SY_B!$BY41-1,"")</f>
        <v/>
      </c>
      <c r="T41" s="177" t="str">
        <f>IFERROR(Inv_SY_B!T41/Inv_SY_B!$BY41-1,"")</f>
        <v/>
      </c>
      <c r="U41" s="177" t="str">
        <f>IFERROR(Inv_SY_B!U41/Inv_SY_B!$BY41-1,"")</f>
        <v/>
      </c>
      <c r="V41" s="177" t="str">
        <f>IFERROR(Inv_SY_B!V41/Inv_SY_B!$BY41-1,"")</f>
        <v/>
      </c>
      <c r="W41" s="177" t="str">
        <f>IFERROR(Inv_SY_B!W41/Inv_SY_B!$BY41-1,"")</f>
        <v/>
      </c>
      <c r="X41" s="177" t="str">
        <f>IFERROR(Inv_SY_B!X41/Inv_SY_B!$BY41-1,"")</f>
        <v/>
      </c>
      <c r="Y41" s="177" t="str">
        <f>IFERROR(Inv_SY_B!Y41/Inv_SY_B!$BY41-1,"")</f>
        <v/>
      </c>
      <c r="Z41" s="177" t="str">
        <f>IFERROR(Inv_SY_B!Z41/Inv_SY_B!$BY41-1,"")</f>
        <v/>
      </c>
      <c r="AA41" s="177" t="str">
        <f>IFERROR(Inv_SY_B!AA41/Inv_SY_B!$BY41-1,"")</f>
        <v/>
      </c>
      <c r="AB41" s="177" t="str">
        <f>IFERROR(Inv_SY_B!AB41/Inv_SY_B!$BY41-1,"")</f>
        <v/>
      </c>
      <c r="AC41" s="177" t="str">
        <f>IFERROR(Inv_SY_B!AC41/Inv_SY_B!$BY41-1,"")</f>
        <v/>
      </c>
      <c r="AD41" s="177" t="str">
        <f>IFERROR(Inv_SY_B!AD41/Inv_SY_B!$BY41-1,"")</f>
        <v/>
      </c>
      <c r="AE41" s="177" t="str">
        <f>IFERROR(Inv_SY_B!AE41/Inv_SY_B!$BZ41-1,"")</f>
        <v/>
      </c>
      <c r="AF41" s="177" t="str">
        <f>IFERROR(Inv_SY_B!AF41/Inv_SY_B!$BZ41-1,"")</f>
        <v/>
      </c>
      <c r="AG41" s="177" t="str">
        <f>IFERROR(Inv_SY_B!AG41/Inv_SY_B!$BZ41-1,"")</f>
        <v/>
      </c>
      <c r="AH41" s="177" t="str">
        <f>IFERROR(Inv_SY_B!AH41/Inv_SY_B!$BZ41-1,"")</f>
        <v/>
      </c>
      <c r="AI41" s="177" t="str">
        <f>IFERROR(Inv_SY_B!AI41/Inv_SY_B!$BZ41-1,"")</f>
        <v/>
      </c>
      <c r="AJ41" s="177" t="str">
        <f>IFERROR(Inv_SY_B!AJ41/Inv_SY_B!$BZ41-1,"")</f>
        <v/>
      </c>
      <c r="AK41" s="177" t="str">
        <f>IFERROR(Inv_SY_B!AK41/Inv_SY_B!$BZ41-1,"")</f>
        <v/>
      </c>
      <c r="AL41" s="177" t="str">
        <f>IFERROR(Inv_SY_B!AL41/Inv_SY_B!$BZ41-1,"")</f>
        <v/>
      </c>
      <c r="AM41" s="177" t="str">
        <f>IFERROR(Inv_SY_B!AM41/Inv_SY_B!$BZ41-1,"")</f>
        <v/>
      </c>
      <c r="AN41" s="177" t="str">
        <f>IFERROR(Inv_SY_B!AN41/Inv_SY_B!$BZ41-1,"")</f>
        <v/>
      </c>
      <c r="AO41" s="177" t="str">
        <f>IFERROR(Inv_SY_B!AO41/Inv_SY_B!$BZ41-1,"")</f>
        <v/>
      </c>
      <c r="AP41" s="177" t="str">
        <f>IFERROR(Inv_SY_B!AP41/Inv_SY_B!$BZ41-1,"")</f>
        <v/>
      </c>
      <c r="AQ41" s="177" t="str">
        <f>IFERROR(Inv_SY_B!AQ41/Inv_SY_B!$BZ41-1,"")</f>
        <v/>
      </c>
      <c r="AR41" s="177" t="str">
        <f>IFERROR(Inv_SY_B!AR41/Inv_SY_B!$BZ41-1,"")</f>
        <v/>
      </c>
      <c r="AS41" s="177" t="str">
        <f>IFERROR(Inv_SY_B!AS41/Inv_SY_B!$BZ41-1,"")</f>
        <v/>
      </c>
      <c r="AT41" s="177" t="str">
        <f>IFERROR(Inv_SY_B!AT41/Inv_SY_B!$BZ41-1,"")</f>
        <v/>
      </c>
      <c r="AU41" s="177" t="str">
        <f>IFERROR(Inv_SY_B!AU41/Inv_SY_B!$BZ41-1,"")</f>
        <v/>
      </c>
      <c r="AV41" s="177" t="str">
        <f>IFERROR(Inv_SY_B!AV41/Inv_SY_B!$BZ41-1,"")</f>
        <v/>
      </c>
      <c r="AW41" s="177" t="str">
        <f>IFERROR(Inv_SY_B!AW41/Inv_SY_B!$CA41-1,"")</f>
        <v/>
      </c>
      <c r="AX41" s="177" t="str">
        <f>IFERROR(Inv_SY_B!AX41/Inv_SY_B!$CA41-1,"")</f>
        <v/>
      </c>
      <c r="AY41" s="177" t="str">
        <f>IFERROR(Inv_SY_B!AY41/Inv_SY_B!$CA41-1,"")</f>
        <v/>
      </c>
      <c r="AZ41" s="177" t="str">
        <f>IFERROR(Inv_SY_B!AZ41/Inv_SY_B!$CA41-1,"")</f>
        <v/>
      </c>
      <c r="BA41" s="177" t="str">
        <f>IFERROR(Inv_SY_B!BA41/Inv_SY_B!$CA41-1,"")</f>
        <v/>
      </c>
      <c r="BB41" s="177" t="str">
        <f>IFERROR(Inv_SY_B!BB41/Inv_SY_B!$CA41-1,"")</f>
        <v/>
      </c>
      <c r="BC41" s="177" t="str">
        <f>IFERROR(Inv_SY_B!BC41/Inv_SY_B!$CA41-1,"")</f>
        <v/>
      </c>
      <c r="BD41" s="177" t="str">
        <f>IFERROR(Inv_SY_B!BD41/Inv_SY_B!$CA41-1,"")</f>
        <v/>
      </c>
      <c r="BE41" s="177" t="str">
        <f>IFERROR(Inv_SY_B!BE41/Inv_SY_B!$CA41-1,"")</f>
        <v/>
      </c>
      <c r="BF41" s="177" t="str">
        <f>IFERROR(Inv_SY_B!BF41/Inv_SY_B!$CA41-1,"")</f>
        <v/>
      </c>
      <c r="BG41" s="177" t="str">
        <f>IFERROR(Inv_SY_B!BG41/Inv_SY_B!$CA41-1,"")</f>
        <v/>
      </c>
      <c r="BH41" s="177" t="str">
        <f>IFERROR(Inv_SY_B!BH41/Inv_SY_B!$CA41-1,"")</f>
        <v/>
      </c>
      <c r="BI41" s="177" t="str">
        <f>IFERROR(Inv_SY_B!BI41/Inv_SY_B!$CA41-1,"")</f>
        <v/>
      </c>
      <c r="BJ41" s="177" t="str">
        <f>IFERROR(Inv_SY_B!BJ41/Inv_SY_B!$CA41-1,"")</f>
        <v/>
      </c>
      <c r="BK41" s="177" t="str">
        <f>IFERROR(Inv_SY_B!BK41/Inv_SY_B!$CA41-1,"")</f>
        <v/>
      </c>
      <c r="BL41" s="177" t="str">
        <f>IFERROR(Inv_SY_B!BL41/Inv_SY_B!$CA41-1,"")</f>
        <v/>
      </c>
      <c r="BM41" s="177" t="str">
        <f>IFERROR(Inv_SY_B!BM41/Inv_SY_B!$CA41-1,"")</f>
        <v/>
      </c>
      <c r="BN41" s="177" t="str">
        <f>IFERROR(Inv_SY_B!BN41/Inv_SY_B!$CA41-1,"")</f>
        <v/>
      </c>
      <c r="BO41" s="177" t="str">
        <f>IFERROR(Inv_SY_B!BO41/Inv_SY_B!$CA41-1,"")</f>
        <v/>
      </c>
      <c r="BP41" s="177" t="str">
        <f>IFERROR(Inv_SY_B!BP41/Inv_SY_B!$CA41-1,"")</f>
        <v/>
      </c>
      <c r="BQ41" s="177" t="str">
        <f>IFERROR(Inv_SY_B!BQ41/Inv_SY_B!$CA41-1,"")</f>
        <v/>
      </c>
      <c r="BR41" s="177" t="str">
        <f>IFERROR(Inv_SY_B!BR41/Inv_SY_B!$CA41-1,"")</f>
        <v/>
      </c>
      <c r="BS41" s="177" t="str">
        <f>IFERROR(Inv_SY_B!BS41/Inv_SY_B!$CA41-1,"")</f>
        <v/>
      </c>
      <c r="BT41" s="177" t="str">
        <f>IFERROR(Inv_SY_B!BT41/Inv_SY_B!$CA41-1,"")</f>
        <v/>
      </c>
      <c r="BU41" s="177" t="str">
        <f>IFERROR(Inv_SY_B!BU41/Inv_SY_B!$CA41-1,"")</f>
        <v/>
      </c>
      <c r="BV41" s="177" t="str">
        <f>IFERROR(Inv_SY_B!BV41/Inv_SY_B!$CA41-1,"")</f>
        <v/>
      </c>
      <c r="BW41" s="177" t="str">
        <f>IFERROR(Inv_SY_B!BW41/Inv_SY_B!$CA41-1,"")</f>
        <v/>
      </c>
      <c r="BX41" s="177" t="str">
        <f>IFERROR(Inv_SY_B!BX41/Inv_SY_B!$CA41-1,"")</f>
        <v/>
      </c>
    </row>
    <row r="42" spans="1:76">
      <c r="B42" s="173">
        <f t="shared" si="2"/>
        <v>45875</v>
      </c>
      <c r="C42" s="177" t="str">
        <f>IFERROR(Inv_SY_B!C42/Inv_SY_B!$BY42-1,"")</f>
        <v/>
      </c>
      <c r="D42" s="177" t="str">
        <f>IFERROR(Inv_SY_B!D42/Inv_SY_B!$BY42-1,"")</f>
        <v/>
      </c>
      <c r="E42" s="177" t="str">
        <f>IFERROR(Inv_SY_B!E42/Inv_SY_B!$BY42-1,"")</f>
        <v/>
      </c>
      <c r="F42" s="177" t="str">
        <f>IFERROR(Inv_SY_B!F42/Inv_SY_B!$BY42-1,"")</f>
        <v/>
      </c>
      <c r="G42" s="177" t="str">
        <f>IFERROR(Inv_SY_B!G42/Inv_SY_B!$BY42-1,"")</f>
        <v/>
      </c>
      <c r="H42" s="177" t="str">
        <f>IFERROR(Inv_SY_B!H42/Inv_SY_B!$BY42-1,"")</f>
        <v/>
      </c>
      <c r="I42" s="177" t="str">
        <f>IFERROR(Inv_SY_B!I42/Inv_SY_B!$BY42-1,"")</f>
        <v/>
      </c>
      <c r="J42" s="177" t="str">
        <f>IFERROR(Inv_SY_B!J42/Inv_SY_B!$BY42-1,"")</f>
        <v/>
      </c>
      <c r="K42" s="177" t="str">
        <f>IFERROR(Inv_SY_B!K42/Inv_SY_B!$BY42-1,"")</f>
        <v/>
      </c>
      <c r="L42" s="177" t="str">
        <f>IFERROR(Inv_SY_B!L42/Inv_SY_B!$BY42-1,"")</f>
        <v/>
      </c>
      <c r="M42" s="177" t="str">
        <f>IFERROR(Inv_SY_B!M42/Inv_SY_B!$BY42-1,"")</f>
        <v/>
      </c>
      <c r="N42" s="177" t="str">
        <f>IFERROR(Inv_SY_B!N42/Inv_SY_B!$BY42-1,"")</f>
        <v/>
      </c>
      <c r="O42" s="177" t="str">
        <f>IFERROR(Inv_SY_B!O42/Inv_SY_B!$BY42-1,"")</f>
        <v/>
      </c>
      <c r="P42" s="177" t="str">
        <f>IFERROR(Inv_SY_B!P42/Inv_SY_B!$BY42-1,"")</f>
        <v/>
      </c>
      <c r="Q42" s="177" t="str">
        <f>IFERROR(Inv_SY_B!Q42/Inv_SY_B!$BY42-1,"")</f>
        <v/>
      </c>
      <c r="R42" s="177" t="str">
        <f>IFERROR(Inv_SY_B!R42/Inv_SY_B!$BY42-1,"")</f>
        <v/>
      </c>
      <c r="S42" s="177" t="str">
        <f>IFERROR(Inv_SY_B!S42/Inv_SY_B!$BY42-1,"")</f>
        <v/>
      </c>
      <c r="T42" s="177" t="str">
        <f>IFERROR(Inv_SY_B!T42/Inv_SY_B!$BY42-1,"")</f>
        <v/>
      </c>
      <c r="U42" s="177" t="str">
        <f>IFERROR(Inv_SY_B!U42/Inv_SY_B!$BY42-1,"")</f>
        <v/>
      </c>
      <c r="V42" s="177" t="str">
        <f>IFERROR(Inv_SY_B!V42/Inv_SY_B!$BY42-1,"")</f>
        <v/>
      </c>
      <c r="W42" s="177" t="str">
        <f>IFERROR(Inv_SY_B!W42/Inv_SY_B!$BY42-1,"")</f>
        <v/>
      </c>
      <c r="X42" s="177" t="str">
        <f>IFERROR(Inv_SY_B!X42/Inv_SY_B!$BY42-1,"")</f>
        <v/>
      </c>
      <c r="Y42" s="177" t="str">
        <f>IFERROR(Inv_SY_B!Y42/Inv_SY_B!$BY42-1,"")</f>
        <v/>
      </c>
      <c r="Z42" s="177" t="str">
        <f>IFERROR(Inv_SY_B!Z42/Inv_SY_B!$BY42-1,"")</f>
        <v/>
      </c>
      <c r="AA42" s="177" t="str">
        <f>IFERROR(Inv_SY_B!AA42/Inv_SY_B!$BY42-1,"")</f>
        <v/>
      </c>
      <c r="AB42" s="177" t="str">
        <f>IFERROR(Inv_SY_B!AB42/Inv_SY_B!$BY42-1,"")</f>
        <v/>
      </c>
      <c r="AC42" s="177" t="str">
        <f>IFERROR(Inv_SY_B!AC42/Inv_SY_B!$BY42-1,"")</f>
        <v/>
      </c>
      <c r="AD42" s="177" t="str">
        <f>IFERROR(Inv_SY_B!AD42/Inv_SY_B!$BY42-1,"")</f>
        <v/>
      </c>
      <c r="AE42" s="177" t="str">
        <f>IFERROR(Inv_SY_B!AE42/Inv_SY_B!$BZ42-1,"")</f>
        <v/>
      </c>
      <c r="AF42" s="177" t="str">
        <f>IFERROR(Inv_SY_B!AF42/Inv_SY_B!$BZ42-1,"")</f>
        <v/>
      </c>
      <c r="AG42" s="177" t="str">
        <f>IFERROR(Inv_SY_B!AG42/Inv_SY_B!$BZ42-1,"")</f>
        <v/>
      </c>
      <c r="AH42" s="177" t="str">
        <f>IFERROR(Inv_SY_B!AH42/Inv_SY_B!$BZ42-1,"")</f>
        <v/>
      </c>
      <c r="AI42" s="177" t="str">
        <f>IFERROR(Inv_SY_B!AI42/Inv_SY_B!$BZ42-1,"")</f>
        <v/>
      </c>
      <c r="AJ42" s="177" t="str">
        <f>IFERROR(Inv_SY_B!AJ42/Inv_SY_B!$BZ42-1,"")</f>
        <v/>
      </c>
      <c r="AK42" s="177" t="str">
        <f>IFERROR(Inv_SY_B!AK42/Inv_SY_B!$BZ42-1,"")</f>
        <v/>
      </c>
      <c r="AL42" s="177" t="str">
        <f>IFERROR(Inv_SY_B!AL42/Inv_SY_B!$BZ42-1,"")</f>
        <v/>
      </c>
      <c r="AM42" s="177" t="str">
        <f>IFERROR(Inv_SY_B!AM42/Inv_SY_B!$BZ42-1,"")</f>
        <v/>
      </c>
      <c r="AN42" s="177" t="str">
        <f>IFERROR(Inv_SY_B!AN42/Inv_SY_B!$BZ42-1,"")</f>
        <v/>
      </c>
      <c r="AO42" s="177" t="str">
        <f>IFERROR(Inv_SY_B!AO42/Inv_SY_B!$BZ42-1,"")</f>
        <v/>
      </c>
      <c r="AP42" s="177" t="str">
        <f>IFERROR(Inv_SY_B!AP42/Inv_SY_B!$BZ42-1,"")</f>
        <v/>
      </c>
      <c r="AQ42" s="177" t="str">
        <f>IFERROR(Inv_SY_B!AQ42/Inv_SY_B!$BZ42-1,"")</f>
        <v/>
      </c>
      <c r="AR42" s="177" t="str">
        <f>IFERROR(Inv_SY_B!AR42/Inv_SY_B!$BZ42-1,"")</f>
        <v/>
      </c>
      <c r="AS42" s="177" t="str">
        <f>IFERROR(Inv_SY_B!AS42/Inv_SY_B!$BZ42-1,"")</f>
        <v/>
      </c>
      <c r="AT42" s="177" t="str">
        <f>IFERROR(Inv_SY_B!AT42/Inv_SY_B!$BZ42-1,"")</f>
        <v/>
      </c>
      <c r="AU42" s="177" t="str">
        <f>IFERROR(Inv_SY_B!AU42/Inv_SY_B!$BZ42-1,"")</f>
        <v/>
      </c>
      <c r="AV42" s="177" t="str">
        <f>IFERROR(Inv_SY_B!AV42/Inv_SY_B!$BZ42-1,"")</f>
        <v/>
      </c>
      <c r="AW42" s="177" t="str">
        <f>IFERROR(Inv_SY_B!AW42/Inv_SY_B!$CA42-1,"")</f>
        <v/>
      </c>
      <c r="AX42" s="177" t="str">
        <f>IFERROR(Inv_SY_B!AX42/Inv_SY_B!$CA42-1,"")</f>
        <v/>
      </c>
      <c r="AY42" s="177" t="str">
        <f>IFERROR(Inv_SY_B!AY42/Inv_SY_B!$CA42-1,"")</f>
        <v/>
      </c>
      <c r="AZ42" s="177" t="str">
        <f>IFERROR(Inv_SY_B!AZ42/Inv_SY_B!$CA42-1,"")</f>
        <v/>
      </c>
      <c r="BA42" s="177" t="str">
        <f>IFERROR(Inv_SY_B!BA42/Inv_SY_B!$CA42-1,"")</f>
        <v/>
      </c>
      <c r="BB42" s="177" t="str">
        <f>IFERROR(Inv_SY_B!BB42/Inv_SY_B!$CA42-1,"")</f>
        <v/>
      </c>
      <c r="BC42" s="177" t="str">
        <f>IFERROR(Inv_SY_B!BC42/Inv_SY_B!$CA42-1,"")</f>
        <v/>
      </c>
      <c r="BD42" s="177" t="str">
        <f>IFERROR(Inv_SY_B!BD42/Inv_SY_B!$CA42-1,"")</f>
        <v/>
      </c>
      <c r="BE42" s="177" t="str">
        <f>IFERROR(Inv_SY_B!BE42/Inv_SY_B!$CA42-1,"")</f>
        <v/>
      </c>
      <c r="BF42" s="177" t="str">
        <f>IFERROR(Inv_SY_B!BF42/Inv_SY_B!$CA42-1,"")</f>
        <v/>
      </c>
      <c r="BG42" s="177" t="str">
        <f>IFERROR(Inv_SY_B!BG42/Inv_SY_B!$CA42-1,"")</f>
        <v/>
      </c>
      <c r="BH42" s="177" t="str">
        <f>IFERROR(Inv_SY_B!BH42/Inv_SY_B!$CA42-1,"")</f>
        <v/>
      </c>
      <c r="BI42" s="177" t="str">
        <f>IFERROR(Inv_SY_B!BI42/Inv_SY_B!$CA42-1,"")</f>
        <v/>
      </c>
      <c r="BJ42" s="177" t="str">
        <f>IFERROR(Inv_SY_B!BJ42/Inv_SY_B!$CA42-1,"")</f>
        <v/>
      </c>
      <c r="BK42" s="177" t="str">
        <f>IFERROR(Inv_SY_B!BK42/Inv_SY_B!$CA42-1,"")</f>
        <v/>
      </c>
      <c r="BL42" s="177" t="str">
        <f>IFERROR(Inv_SY_B!BL42/Inv_SY_B!$CA42-1,"")</f>
        <v/>
      </c>
      <c r="BM42" s="177" t="str">
        <f>IFERROR(Inv_SY_B!BM42/Inv_SY_B!$CA42-1,"")</f>
        <v/>
      </c>
      <c r="BN42" s="177" t="str">
        <f>IFERROR(Inv_SY_B!BN42/Inv_SY_B!$CA42-1,"")</f>
        <v/>
      </c>
      <c r="BO42" s="177" t="str">
        <f>IFERROR(Inv_SY_B!BO42/Inv_SY_B!$CA42-1,"")</f>
        <v/>
      </c>
      <c r="BP42" s="177" t="str">
        <f>IFERROR(Inv_SY_B!BP42/Inv_SY_B!$CA42-1,"")</f>
        <v/>
      </c>
      <c r="BQ42" s="177" t="str">
        <f>IFERROR(Inv_SY_B!BQ42/Inv_SY_B!$CA42-1,"")</f>
        <v/>
      </c>
      <c r="BR42" s="177" t="str">
        <f>IFERROR(Inv_SY_B!BR42/Inv_SY_B!$CA42-1,"")</f>
        <v/>
      </c>
      <c r="BS42" s="177" t="str">
        <f>IFERROR(Inv_SY_B!BS42/Inv_SY_B!$CA42-1,"")</f>
        <v/>
      </c>
      <c r="BT42" s="177" t="str">
        <f>IFERROR(Inv_SY_B!BT42/Inv_SY_B!$CA42-1,"")</f>
        <v/>
      </c>
      <c r="BU42" s="177" t="str">
        <f>IFERROR(Inv_SY_B!BU42/Inv_SY_B!$CA42-1,"")</f>
        <v/>
      </c>
      <c r="BV42" s="177" t="str">
        <f>IFERROR(Inv_SY_B!BV42/Inv_SY_B!$CA42-1,"")</f>
        <v/>
      </c>
      <c r="BW42" s="177" t="str">
        <f>IFERROR(Inv_SY_B!BW42/Inv_SY_B!$CA42-1,"")</f>
        <v/>
      </c>
      <c r="BX42" s="177" t="str">
        <f>IFERROR(Inv_SY_B!BX42/Inv_SY_B!$CA42-1,"")</f>
        <v/>
      </c>
    </row>
    <row r="43" spans="1:76">
      <c r="B43" s="173">
        <f t="shared" si="2"/>
        <v>45876</v>
      </c>
      <c r="C43" s="177" t="str">
        <f>IFERROR(Inv_SY_B!C43/Inv_SY_B!$BY43-1,"")</f>
        <v/>
      </c>
      <c r="D43" s="177" t="str">
        <f>IFERROR(Inv_SY_B!D43/Inv_SY_B!$BY43-1,"")</f>
        <v/>
      </c>
      <c r="E43" s="177" t="str">
        <f>IFERROR(Inv_SY_B!E43/Inv_SY_B!$BY43-1,"")</f>
        <v/>
      </c>
      <c r="F43" s="177" t="str">
        <f>IFERROR(Inv_SY_B!F43/Inv_SY_B!$BY43-1,"")</f>
        <v/>
      </c>
      <c r="G43" s="177" t="str">
        <f>IFERROR(Inv_SY_B!G43/Inv_SY_B!$BY43-1,"")</f>
        <v/>
      </c>
      <c r="H43" s="177" t="str">
        <f>IFERROR(Inv_SY_B!H43/Inv_SY_B!$BY43-1,"")</f>
        <v/>
      </c>
      <c r="I43" s="177" t="str">
        <f>IFERROR(Inv_SY_B!I43/Inv_SY_B!$BY43-1,"")</f>
        <v/>
      </c>
      <c r="J43" s="177" t="str">
        <f>IFERROR(Inv_SY_B!J43/Inv_SY_B!$BY43-1,"")</f>
        <v/>
      </c>
      <c r="K43" s="177" t="str">
        <f>IFERROR(Inv_SY_B!K43/Inv_SY_B!$BY43-1,"")</f>
        <v/>
      </c>
      <c r="L43" s="177" t="str">
        <f>IFERROR(Inv_SY_B!L43/Inv_SY_B!$BY43-1,"")</f>
        <v/>
      </c>
      <c r="M43" s="177" t="str">
        <f>IFERROR(Inv_SY_B!M43/Inv_SY_B!$BY43-1,"")</f>
        <v/>
      </c>
      <c r="N43" s="177" t="str">
        <f>IFERROR(Inv_SY_B!N43/Inv_SY_B!$BY43-1,"")</f>
        <v/>
      </c>
      <c r="O43" s="177" t="str">
        <f>IFERROR(Inv_SY_B!O43/Inv_SY_B!$BY43-1,"")</f>
        <v/>
      </c>
      <c r="P43" s="177" t="str">
        <f>IFERROR(Inv_SY_B!P43/Inv_SY_B!$BY43-1,"")</f>
        <v/>
      </c>
      <c r="Q43" s="177" t="str">
        <f>IFERROR(Inv_SY_B!Q43/Inv_SY_B!$BY43-1,"")</f>
        <v/>
      </c>
      <c r="R43" s="177" t="str">
        <f>IFERROR(Inv_SY_B!R43/Inv_SY_B!$BY43-1,"")</f>
        <v/>
      </c>
      <c r="S43" s="177" t="str">
        <f>IFERROR(Inv_SY_B!S43/Inv_SY_B!$BY43-1,"")</f>
        <v/>
      </c>
      <c r="T43" s="177" t="str">
        <f>IFERROR(Inv_SY_B!T43/Inv_SY_B!$BY43-1,"")</f>
        <v/>
      </c>
      <c r="U43" s="177" t="str">
        <f>IFERROR(Inv_SY_B!U43/Inv_SY_B!$BY43-1,"")</f>
        <v/>
      </c>
      <c r="V43" s="177" t="str">
        <f>IFERROR(Inv_SY_B!V43/Inv_SY_B!$BY43-1,"")</f>
        <v/>
      </c>
      <c r="W43" s="177" t="str">
        <f>IFERROR(Inv_SY_B!W43/Inv_SY_B!$BY43-1,"")</f>
        <v/>
      </c>
      <c r="X43" s="177" t="str">
        <f>IFERROR(Inv_SY_B!X43/Inv_SY_B!$BY43-1,"")</f>
        <v/>
      </c>
      <c r="Y43" s="177" t="str">
        <f>IFERROR(Inv_SY_B!Y43/Inv_SY_B!$BY43-1,"")</f>
        <v/>
      </c>
      <c r="Z43" s="177" t="str">
        <f>IFERROR(Inv_SY_B!Z43/Inv_SY_B!$BY43-1,"")</f>
        <v/>
      </c>
      <c r="AA43" s="177" t="str">
        <f>IFERROR(Inv_SY_B!AA43/Inv_SY_B!$BY43-1,"")</f>
        <v/>
      </c>
      <c r="AB43" s="177" t="str">
        <f>IFERROR(Inv_SY_B!AB43/Inv_SY_B!$BY43-1,"")</f>
        <v/>
      </c>
      <c r="AC43" s="177" t="str">
        <f>IFERROR(Inv_SY_B!AC43/Inv_SY_B!$BY43-1,"")</f>
        <v/>
      </c>
      <c r="AD43" s="177" t="str">
        <f>IFERROR(Inv_SY_B!AD43/Inv_SY_B!$BY43-1,"")</f>
        <v/>
      </c>
      <c r="AE43" s="177" t="str">
        <f>IFERROR(Inv_SY_B!AE43/Inv_SY_B!$BZ43-1,"")</f>
        <v/>
      </c>
      <c r="AF43" s="177" t="str">
        <f>IFERROR(Inv_SY_B!AF43/Inv_SY_B!$BZ43-1,"")</f>
        <v/>
      </c>
      <c r="AG43" s="177" t="str">
        <f>IFERROR(Inv_SY_B!AG43/Inv_SY_B!$BZ43-1,"")</f>
        <v/>
      </c>
      <c r="AH43" s="177" t="str">
        <f>IFERROR(Inv_SY_B!AH43/Inv_SY_B!$BZ43-1,"")</f>
        <v/>
      </c>
      <c r="AI43" s="177" t="str">
        <f>IFERROR(Inv_SY_B!AI43/Inv_SY_B!$BZ43-1,"")</f>
        <v/>
      </c>
      <c r="AJ43" s="177" t="str">
        <f>IFERROR(Inv_SY_B!AJ43/Inv_SY_B!$BZ43-1,"")</f>
        <v/>
      </c>
      <c r="AK43" s="177" t="str">
        <f>IFERROR(Inv_SY_B!AK43/Inv_SY_B!$BZ43-1,"")</f>
        <v/>
      </c>
      <c r="AL43" s="177" t="str">
        <f>IFERROR(Inv_SY_B!AL43/Inv_SY_B!$BZ43-1,"")</f>
        <v/>
      </c>
      <c r="AM43" s="177" t="str">
        <f>IFERROR(Inv_SY_B!AM43/Inv_SY_B!$BZ43-1,"")</f>
        <v/>
      </c>
      <c r="AN43" s="177" t="str">
        <f>IFERROR(Inv_SY_B!AN43/Inv_SY_B!$BZ43-1,"")</f>
        <v/>
      </c>
      <c r="AO43" s="177" t="str">
        <f>IFERROR(Inv_SY_B!AO43/Inv_SY_B!$BZ43-1,"")</f>
        <v/>
      </c>
      <c r="AP43" s="177" t="str">
        <f>IFERROR(Inv_SY_B!AP43/Inv_SY_B!$BZ43-1,"")</f>
        <v/>
      </c>
      <c r="AQ43" s="177" t="str">
        <f>IFERROR(Inv_SY_B!AQ43/Inv_SY_B!$BZ43-1,"")</f>
        <v/>
      </c>
      <c r="AR43" s="177" t="str">
        <f>IFERROR(Inv_SY_B!AR43/Inv_SY_B!$BZ43-1,"")</f>
        <v/>
      </c>
      <c r="AS43" s="177" t="str">
        <f>IFERROR(Inv_SY_B!AS43/Inv_SY_B!$BZ43-1,"")</f>
        <v/>
      </c>
      <c r="AT43" s="177" t="str">
        <f>IFERROR(Inv_SY_B!AT43/Inv_SY_B!$BZ43-1,"")</f>
        <v/>
      </c>
      <c r="AU43" s="177" t="str">
        <f>IFERROR(Inv_SY_B!AU43/Inv_SY_B!$BZ43-1,"")</f>
        <v/>
      </c>
      <c r="AV43" s="177" t="str">
        <f>IFERROR(Inv_SY_B!AV43/Inv_SY_B!$BZ43-1,"")</f>
        <v/>
      </c>
      <c r="AW43" s="177" t="str">
        <f>IFERROR(Inv_SY_B!AW43/Inv_SY_B!$CA43-1,"")</f>
        <v/>
      </c>
      <c r="AX43" s="177" t="str">
        <f>IFERROR(Inv_SY_B!AX43/Inv_SY_B!$CA43-1,"")</f>
        <v/>
      </c>
      <c r="AY43" s="177" t="str">
        <f>IFERROR(Inv_SY_B!AY43/Inv_SY_B!$CA43-1,"")</f>
        <v/>
      </c>
      <c r="AZ43" s="177" t="str">
        <f>IFERROR(Inv_SY_B!AZ43/Inv_SY_B!$CA43-1,"")</f>
        <v/>
      </c>
      <c r="BA43" s="177" t="str">
        <f>IFERROR(Inv_SY_B!BA43/Inv_SY_B!$CA43-1,"")</f>
        <v/>
      </c>
      <c r="BB43" s="177" t="str">
        <f>IFERROR(Inv_SY_B!BB43/Inv_SY_B!$CA43-1,"")</f>
        <v/>
      </c>
      <c r="BC43" s="177" t="str">
        <f>IFERROR(Inv_SY_B!BC43/Inv_SY_B!$CA43-1,"")</f>
        <v/>
      </c>
      <c r="BD43" s="177" t="str">
        <f>IFERROR(Inv_SY_B!BD43/Inv_SY_B!$CA43-1,"")</f>
        <v/>
      </c>
      <c r="BE43" s="177" t="str">
        <f>IFERROR(Inv_SY_B!BE43/Inv_SY_B!$CA43-1,"")</f>
        <v/>
      </c>
      <c r="BF43" s="177" t="str">
        <f>IFERROR(Inv_SY_B!BF43/Inv_SY_B!$CA43-1,"")</f>
        <v/>
      </c>
      <c r="BG43" s="177" t="str">
        <f>IFERROR(Inv_SY_B!BG43/Inv_SY_B!$CA43-1,"")</f>
        <v/>
      </c>
      <c r="BH43" s="177" t="str">
        <f>IFERROR(Inv_SY_B!BH43/Inv_SY_B!$CA43-1,"")</f>
        <v/>
      </c>
      <c r="BI43" s="177" t="str">
        <f>IFERROR(Inv_SY_B!BI43/Inv_SY_B!$CA43-1,"")</f>
        <v/>
      </c>
      <c r="BJ43" s="177" t="str">
        <f>IFERROR(Inv_SY_B!BJ43/Inv_SY_B!$CA43-1,"")</f>
        <v/>
      </c>
      <c r="BK43" s="177" t="str">
        <f>IFERROR(Inv_SY_B!BK43/Inv_SY_B!$CA43-1,"")</f>
        <v/>
      </c>
      <c r="BL43" s="177" t="str">
        <f>IFERROR(Inv_SY_B!BL43/Inv_SY_B!$CA43-1,"")</f>
        <v/>
      </c>
      <c r="BM43" s="177" t="str">
        <f>IFERROR(Inv_SY_B!BM43/Inv_SY_B!$CA43-1,"")</f>
        <v/>
      </c>
      <c r="BN43" s="177" t="str">
        <f>IFERROR(Inv_SY_B!BN43/Inv_SY_B!$CA43-1,"")</f>
        <v/>
      </c>
      <c r="BO43" s="177" t="str">
        <f>IFERROR(Inv_SY_B!BO43/Inv_SY_B!$CA43-1,"")</f>
        <v/>
      </c>
      <c r="BP43" s="177" t="str">
        <f>IFERROR(Inv_SY_B!BP43/Inv_SY_B!$CA43-1,"")</f>
        <v/>
      </c>
      <c r="BQ43" s="177" t="str">
        <f>IFERROR(Inv_SY_B!BQ43/Inv_SY_B!$CA43-1,"")</f>
        <v/>
      </c>
      <c r="BR43" s="177" t="str">
        <f>IFERROR(Inv_SY_B!BR43/Inv_SY_B!$CA43-1,"")</f>
        <v/>
      </c>
      <c r="BS43" s="177" t="str">
        <f>IFERROR(Inv_SY_B!BS43/Inv_SY_B!$CA43-1,"")</f>
        <v/>
      </c>
      <c r="BT43" s="177" t="str">
        <f>IFERROR(Inv_SY_B!BT43/Inv_SY_B!$CA43-1,"")</f>
        <v/>
      </c>
      <c r="BU43" s="177" t="str">
        <f>IFERROR(Inv_SY_B!BU43/Inv_SY_B!$CA43-1,"")</f>
        <v/>
      </c>
      <c r="BV43" s="177" t="str">
        <f>IFERROR(Inv_SY_B!BV43/Inv_SY_B!$CA43-1,"")</f>
        <v/>
      </c>
      <c r="BW43" s="177" t="str">
        <f>IFERROR(Inv_SY_B!BW43/Inv_SY_B!$CA43-1,"")</f>
        <v/>
      </c>
      <c r="BX43" s="177" t="str">
        <f>IFERROR(Inv_SY_B!BX43/Inv_SY_B!$CA43-1,"")</f>
        <v/>
      </c>
    </row>
    <row r="44" spans="1:76">
      <c r="B44" s="173">
        <f t="shared" si="2"/>
        <v>45877</v>
      </c>
      <c r="C44" s="177" t="str">
        <f>IFERROR(Inv_SY_B!C44/Inv_SY_B!$BY44-1,"")</f>
        <v/>
      </c>
      <c r="D44" s="177" t="str">
        <f>IFERROR(Inv_SY_B!D44/Inv_SY_B!$BY44-1,"")</f>
        <v/>
      </c>
      <c r="E44" s="177" t="str">
        <f>IFERROR(Inv_SY_B!E44/Inv_SY_B!$BY44-1,"")</f>
        <v/>
      </c>
      <c r="F44" s="177" t="str">
        <f>IFERROR(Inv_SY_B!F44/Inv_SY_B!$BY44-1,"")</f>
        <v/>
      </c>
      <c r="G44" s="177" t="str">
        <f>IFERROR(Inv_SY_B!G44/Inv_SY_B!$BY44-1,"")</f>
        <v/>
      </c>
      <c r="H44" s="177" t="str">
        <f>IFERROR(Inv_SY_B!H44/Inv_SY_B!$BY44-1,"")</f>
        <v/>
      </c>
      <c r="I44" s="177" t="str">
        <f>IFERROR(Inv_SY_B!I44/Inv_SY_B!$BY44-1,"")</f>
        <v/>
      </c>
      <c r="J44" s="177" t="str">
        <f>IFERROR(Inv_SY_B!J44/Inv_SY_B!$BY44-1,"")</f>
        <v/>
      </c>
      <c r="K44" s="177" t="str">
        <f>IFERROR(Inv_SY_B!K44/Inv_SY_B!$BY44-1,"")</f>
        <v/>
      </c>
      <c r="L44" s="177" t="str">
        <f>IFERROR(Inv_SY_B!L44/Inv_SY_B!$BY44-1,"")</f>
        <v/>
      </c>
      <c r="M44" s="177" t="str">
        <f>IFERROR(Inv_SY_B!M44/Inv_SY_B!$BY44-1,"")</f>
        <v/>
      </c>
      <c r="N44" s="177" t="str">
        <f>IFERROR(Inv_SY_B!N44/Inv_SY_B!$BY44-1,"")</f>
        <v/>
      </c>
      <c r="O44" s="177" t="str">
        <f>IFERROR(Inv_SY_B!O44/Inv_SY_B!$BY44-1,"")</f>
        <v/>
      </c>
      <c r="P44" s="177" t="str">
        <f>IFERROR(Inv_SY_B!P44/Inv_SY_B!$BY44-1,"")</f>
        <v/>
      </c>
      <c r="Q44" s="177" t="str">
        <f>IFERROR(Inv_SY_B!Q44/Inv_SY_B!$BY44-1,"")</f>
        <v/>
      </c>
      <c r="R44" s="177" t="str">
        <f>IFERROR(Inv_SY_B!R44/Inv_SY_B!$BY44-1,"")</f>
        <v/>
      </c>
      <c r="S44" s="177" t="str">
        <f>IFERROR(Inv_SY_B!S44/Inv_SY_B!$BY44-1,"")</f>
        <v/>
      </c>
      <c r="T44" s="177" t="str">
        <f>IFERROR(Inv_SY_B!T44/Inv_SY_B!$BY44-1,"")</f>
        <v/>
      </c>
      <c r="U44" s="177" t="str">
        <f>IFERROR(Inv_SY_B!U44/Inv_SY_B!$BY44-1,"")</f>
        <v/>
      </c>
      <c r="V44" s="177" t="str">
        <f>IFERROR(Inv_SY_B!V44/Inv_SY_B!$BY44-1,"")</f>
        <v/>
      </c>
      <c r="W44" s="177" t="str">
        <f>IFERROR(Inv_SY_B!W44/Inv_SY_B!$BY44-1,"")</f>
        <v/>
      </c>
      <c r="X44" s="177" t="str">
        <f>IFERROR(Inv_SY_B!X44/Inv_SY_B!$BY44-1,"")</f>
        <v/>
      </c>
      <c r="Y44" s="177" t="str">
        <f>IFERROR(Inv_SY_B!Y44/Inv_SY_B!$BY44-1,"")</f>
        <v/>
      </c>
      <c r="Z44" s="177" t="str">
        <f>IFERROR(Inv_SY_B!Z44/Inv_SY_B!$BY44-1,"")</f>
        <v/>
      </c>
      <c r="AA44" s="177" t="str">
        <f>IFERROR(Inv_SY_B!AA44/Inv_SY_B!$BY44-1,"")</f>
        <v/>
      </c>
      <c r="AB44" s="177" t="str">
        <f>IFERROR(Inv_SY_B!AB44/Inv_SY_B!$BY44-1,"")</f>
        <v/>
      </c>
      <c r="AC44" s="177" t="str">
        <f>IFERROR(Inv_SY_B!AC44/Inv_SY_B!$BY44-1,"")</f>
        <v/>
      </c>
      <c r="AD44" s="177" t="str">
        <f>IFERROR(Inv_SY_B!AD44/Inv_SY_B!$BY44-1,"")</f>
        <v/>
      </c>
      <c r="AE44" s="177" t="str">
        <f>IFERROR(Inv_SY_B!AE44/Inv_SY_B!$BZ44-1,"")</f>
        <v/>
      </c>
      <c r="AF44" s="177" t="str">
        <f>IFERROR(Inv_SY_B!AF44/Inv_SY_B!$BZ44-1,"")</f>
        <v/>
      </c>
      <c r="AG44" s="177" t="str">
        <f>IFERROR(Inv_SY_B!AG44/Inv_SY_B!$BZ44-1,"")</f>
        <v/>
      </c>
      <c r="AH44" s="177" t="str">
        <f>IFERROR(Inv_SY_B!AH44/Inv_SY_B!$BZ44-1,"")</f>
        <v/>
      </c>
      <c r="AI44" s="177" t="str">
        <f>IFERROR(Inv_SY_B!AI44/Inv_SY_B!$BZ44-1,"")</f>
        <v/>
      </c>
      <c r="AJ44" s="177" t="str">
        <f>IFERROR(Inv_SY_B!AJ44/Inv_SY_B!$BZ44-1,"")</f>
        <v/>
      </c>
      <c r="AK44" s="177" t="str">
        <f>IFERROR(Inv_SY_B!AK44/Inv_SY_B!$BZ44-1,"")</f>
        <v/>
      </c>
      <c r="AL44" s="177" t="str">
        <f>IFERROR(Inv_SY_B!AL44/Inv_SY_B!$BZ44-1,"")</f>
        <v/>
      </c>
      <c r="AM44" s="177" t="str">
        <f>IFERROR(Inv_SY_B!AM44/Inv_SY_B!$BZ44-1,"")</f>
        <v/>
      </c>
      <c r="AN44" s="177" t="str">
        <f>IFERROR(Inv_SY_B!AN44/Inv_SY_B!$BZ44-1,"")</f>
        <v/>
      </c>
      <c r="AO44" s="177" t="str">
        <f>IFERROR(Inv_SY_B!AO44/Inv_SY_B!$BZ44-1,"")</f>
        <v/>
      </c>
      <c r="AP44" s="177" t="str">
        <f>IFERROR(Inv_SY_B!AP44/Inv_SY_B!$BZ44-1,"")</f>
        <v/>
      </c>
      <c r="AQ44" s="177" t="str">
        <f>IFERROR(Inv_SY_B!AQ44/Inv_SY_B!$BZ44-1,"")</f>
        <v/>
      </c>
      <c r="AR44" s="177" t="str">
        <f>IFERROR(Inv_SY_B!AR44/Inv_SY_B!$BZ44-1,"")</f>
        <v/>
      </c>
      <c r="AS44" s="177" t="str">
        <f>IFERROR(Inv_SY_B!AS44/Inv_SY_B!$BZ44-1,"")</f>
        <v/>
      </c>
      <c r="AT44" s="177" t="str">
        <f>IFERROR(Inv_SY_B!AT44/Inv_SY_B!$BZ44-1,"")</f>
        <v/>
      </c>
      <c r="AU44" s="177" t="str">
        <f>IFERROR(Inv_SY_B!AU44/Inv_SY_B!$BZ44-1,"")</f>
        <v/>
      </c>
      <c r="AV44" s="177" t="str">
        <f>IFERROR(Inv_SY_B!AV44/Inv_SY_B!$BZ44-1,"")</f>
        <v/>
      </c>
      <c r="AW44" s="177" t="str">
        <f>IFERROR(Inv_SY_B!AW44/Inv_SY_B!$CA44-1,"")</f>
        <v/>
      </c>
      <c r="AX44" s="177" t="str">
        <f>IFERROR(Inv_SY_B!AX44/Inv_SY_B!$CA44-1,"")</f>
        <v/>
      </c>
      <c r="AY44" s="177" t="str">
        <f>IFERROR(Inv_SY_B!AY44/Inv_SY_B!$CA44-1,"")</f>
        <v/>
      </c>
      <c r="AZ44" s="177" t="str">
        <f>IFERROR(Inv_SY_B!AZ44/Inv_SY_B!$CA44-1,"")</f>
        <v/>
      </c>
      <c r="BA44" s="177" t="str">
        <f>IFERROR(Inv_SY_B!BA44/Inv_SY_B!$CA44-1,"")</f>
        <v/>
      </c>
      <c r="BB44" s="177" t="str">
        <f>IFERROR(Inv_SY_B!BB44/Inv_SY_B!$CA44-1,"")</f>
        <v/>
      </c>
      <c r="BC44" s="177" t="str">
        <f>IFERROR(Inv_SY_B!BC44/Inv_SY_B!$CA44-1,"")</f>
        <v/>
      </c>
      <c r="BD44" s="177" t="str">
        <f>IFERROR(Inv_SY_B!BD44/Inv_SY_B!$CA44-1,"")</f>
        <v/>
      </c>
      <c r="BE44" s="177" t="str">
        <f>IFERROR(Inv_SY_B!BE44/Inv_SY_B!$CA44-1,"")</f>
        <v/>
      </c>
      <c r="BF44" s="177" t="str">
        <f>IFERROR(Inv_SY_B!BF44/Inv_SY_B!$CA44-1,"")</f>
        <v/>
      </c>
      <c r="BG44" s="177" t="str">
        <f>IFERROR(Inv_SY_B!BG44/Inv_SY_B!$CA44-1,"")</f>
        <v/>
      </c>
      <c r="BH44" s="177" t="str">
        <f>IFERROR(Inv_SY_B!BH44/Inv_SY_B!$CA44-1,"")</f>
        <v/>
      </c>
      <c r="BI44" s="177" t="str">
        <f>IFERROR(Inv_SY_B!BI44/Inv_SY_B!$CA44-1,"")</f>
        <v/>
      </c>
      <c r="BJ44" s="177" t="str">
        <f>IFERROR(Inv_SY_B!BJ44/Inv_SY_B!$CA44-1,"")</f>
        <v/>
      </c>
      <c r="BK44" s="177" t="str">
        <f>IFERROR(Inv_SY_B!BK44/Inv_SY_B!$CA44-1,"")</f>
        <v/>
      </c>
      <c r="BL44" s="177" t="str">
        <f>IFERROR(Inv_SY_B!BL44/Inv_SY_B!$CA44-1,"")</f>
        <v/>
      </c>
      <c r="BM44" s="177" t="str">
        <f>IFERROR(Inv_SY_B!BM44/Inv_SY_B!$CA44-1,"")</f>
        <v/>
      </c>
      <c r="BN44" s="177" t="str">
        <f>IFERROR(Inv_SY_B!BN44/Inv_SY_B!$CA44-1,"")</f>
        <v/>
      </c>
      <c r="BO44" s="177" t="str">
        <f>IFERROR(Inv_SY_B!BO44/Inv_SY_B!$CA44-1,"")</f>
        <v/>
      </c>
      <c r="BP44" s="177" t="str">
        <f>IFERROR(Inv_SY_B!BP44/Inv_SY_B!$CA44-1,"")</f>
        <v/>
      </c>
      <c r="BQ44" s="177" t="str">
        <f>IFERROR(Inv_SY_B!BQ44/Inv_SY_B!$CA44-1,"")</f>
        <v/>
      </c>
      <c r="BR44" s="177" t="str">
        <f>IFERROR(Inv_SY_B!BR44/Inv_SY_B!$CA44-1,"")</f>
        <v/>
      </c>
      <c r="BS44" s="177" t="str">
        <f>IFERROR(Inv_SY_B!BS44/Inv_SY_B!$CA44-1,"")</f>
        <v/>
      </c>
      <c r="BT44" s="177" t="str">
        <f>IFERROR(Inv_SY_B!BT44/Inv_SY_B!$CA44-1,"")</f>
        <v/>
      </c>
      <c r="BU44" s="177" t="str">
        <f>IFERROR(Inv_SY_B!BU44/Inv_SY_B!$CA44-1,"")</f>
        <v/>
      </c>
      <c r="BV44" s="177" t="str">
        <f>IFERROR(Inv_SY_B!BV44/Inv_SY_B!$CA44-1,"")</f>
        <v/>
      </c>
      <c r="BW44" s="177" t="str">
        <f>IFERROR(Inv_SY_B!BW44/Inv_SY_B!$CA44-1,"")</f>
        <v/>
      </c>
      <c r="BX44" s="177" t="str">
        <f>IFERROR(Inv_SY_B!BX44/Inv_SY_B!$CA44-1,"")</f>
        <v/>
      </c>
    </row>
    <row r="45" spans="1:76">
      <c r="B45" s="173">
        <f t="shared" si="2"/>
        <v>45878</v>
      </c>
      <c r="C45" s="177" t="str">
        <f>IFERROR(Inv_SY_B!C45/Inv_SY_B!$BY45-1,"")</f>
        <v/>
      </c>
      <c r="D45" s="177" t="str">
        <f>IFERROR(Inv_SY_B!D45/Inv_SY_B!$BY45-1,"")</f>
        <v/>
      </c>
      <c r="E45" s="177" t="str">
        <f>IFERROR(Inv_SY_B!E45/Inv_SY_B!$BY45-1,"")</f>
        <v/>
      </c>
      <c r="F45" s="177" t="str">
        <f>IFERROR(Inv_SY_B!F45/Inv_SY_B!$BY45-1,"")</f>
        <v/>
      </c>
      <c r="G45" s="177" t="str">
        <f>IFERROR(Inv_SY_B!G45/Inv_SY_B!$BY45-1,"")</f>
        <v/>
      </c>
      <c r="H45" s="177" t="str">
        <f>IFERROR(Inv_SY_B!H45/Inv_SY_B!$BY45-1,"")</f>
        <v/>
      </c>
      <c r="I45" s="177" t="str">
        <f>IFERROR(Inv_SY_B!I45/Inv_SY_B!$BY45-1,"")</f>
        <v/>
      </c>
      <c r="J45" s="177" t="str">
        <f>IFERROR(Inv_SY_B!J45/Inv_SY_B!$BY45-1,"")</f>
        <v/>
      </c>
      <c r="K45" s="177" t="str">
        <f>IFERROR(Inv_SY_B!K45/Inv_SY_B!$BY45-1,"")</f>
        <v/>
      </c>
      <c r="L45" s="177" t="str">
        <f>IFERROR(Inv_SY_B!L45/Inv_SY_B!$BY45-1,"")</f>
        <v/>
      </c>
      <c r="M45" s="177" t="str">
        <f>IFERROR(Inv_SY_B!M45/Inv_SY_B!$BY45-1,"")</f>
        <v/>
      </c>
      <c r="N45" s="177" t="str">
        <f>IFERROR(Inv_SY_B!N45/Inv_SY_B!$BY45-1,"")</f>
        <v/>
      </c>
      <c r="O45" s="177" t="str">
        <f>IFERROR(Inv_SY_B!O45/Inv_SY_B!$BY45-1,"")</f>
        <v/>
      </c>
      <c r="P45" s="177" t="str">
        <f>IFERROR(Inv_SY_B!P45/Inv_SY_B!$BY45-1,"")</f>
        <v/>
      </c>
      <c r="Q45" s="177" t="str">
        <f>IFERROR(Inv_SY_B!Q45/Inv_SY_B!$BY45-1,"")</f>
        <v/>
      </c>
      <c r="R45" s="177" t="str">
        <f>IFERROR(Inv_SY_B!R45/Inv_SY_B!$BY45-1,"")</f>
        <v/>
      </c>
      <c r="S45" s="177" t="str">
        <f>IFERROR(Inv_SY_B!S45/Inv_SY_B!$BY45-1,"")</f>
        <v/>
      </c>
      <c r="T45" s="177" t="str">
        <f>IFERROR(Inv_SY_B!T45/Inv_SY_B!$BY45-1,"")</f>
        <v/>
      </c>
      <c r="U45" s="177" t="str">
        <f>IFERROR(Inv_SY_B!U45/Inv_SY_B!$BY45-1,"")</f>
        <v/>
      </c>
      <c r="V45" s="177" t="str">
        <f>IFERROR(Inv_SY_B!V45/Inv_SY_B!$BY45-1,"")</f>
        <v/>
      </c>
      <c r="W45" s="177" t="str">
        <f>IFERROR(Inv_SY_B!W45/Inv_SY_B!$BY45-1,"")</f>
        <v/>
      </c>
      <c r="X45" s="177" t="str">
        <f>IFERROR(Inv_SY_B!X45/Inv_SY_B!$BY45-1,"")</f>
        <v/>
      </c>
      <c r="Y45" s="177" t="str">
        <f>IFERROR(Inv_SY_B!Y45/Inv_SY_B!$BY45-1,"")</f>
        <v/>
      </c>
      <c r="Z45" s="177" t="str">
        <f>IFERROR(Inv_SY_B!Z45/Inv_SY_B!$BY45-1,"")</f>
        <v/>
      </c>
      <c r="AA45" s="177" t="str">
        <f>IFERROR(Inv_SY_B!AA45/Inv_SY_B!$BY45-1,"")</f>
        <v/>
      </c>
      <c r="AB45" s="177" t="str">
        <f>IFERROR(Inv_SY_B!AB45/Inv_SY_B!$BY45-1,"")</f>
        <v/>
      </c>
      <c r="AC45" s="177" t="str">
        <f>IFERROR(Inv_SY_B!AC45/Inv_SY_B!$BY45-1,"")</f>
        <v/>
      </c>
      <c r="AD45" s="177" t="str">
        <f>IFERROR(Inv_SY_B!AD45/Inv_SY_B!$BY45-1,"")</f>
        <v/>
      </c>
      <c r="AE45" s="177" t="str">
        <f>IFERROR(Inv_SY_B!AE45/Inv_SY_B!$BZ45-1,"")</f>
        <v/>
      </c>
      <c r="AF45" s="177" t="str">
        <f>IFERROR(Inv_SY_B!AF45/Inv_SY_B!$BZ45-1,"")</f>
        <v/>
      </c>
      <c r="AG45" s="177" t="str">
        <f>IFERROR(Inv_SY_B!AG45/Inv_SY_B!$BZ45-1,"")</f>
        <v/>
      </c>
      <c r="AH45" s="177" t="str">
        <f>IFERROR(Inv_SY_B!AH45/Inv_SY_B!$BZ45-1,"")</f>
        <v/>
      </c>
      <c r="AI45" s="177" t="str">
        <f>IFERROR(Inv_SY_B!AI45/Inv_SY_B!$BZ45-1,"")</f>
        <v/>
      </c>
      <c r="AJ45" s="177" t="str">
        <f>IFERROR(Inv_SY_B!AJ45/Inv_SY_B!$BZ45-1,"")</f>
        <v/>
      </c>
      <c r="AK45" s="177" t="str">
        <f>IFERROR(Inv_SY_B!AK45/Inv_SY_B!$BZ45-1,"")</f>
        <v/>
      </c>
      <c r="AL45" s="177" t="str">
        <f>IFERROR(Inv_SY_B!AL45/Inv_SY_B!$BZ45-1,"")</f>
        <v/>
      </c>
      <c r="AM45" s="177" t="str">
        <f>IFERROR(Inv_SY_B!AM45/Inv_SY_B!$BZ45-1,"")</f>
        <v/>
      </c>
      <c r="AN45" s="177" t="str">
        <f>IFERROR(Inv_SY_B!AN45/Inv_SY_B!$BZ45-1,"")</f>
        <v/>
      </c>
      <c r="AO45" s="177" t="str">
        <f>IFERROR(Inv_SY_B!AO45/Inv_SY_B!$BZ45-1,"")</f>
        <v/>
      </c>
      <c r="AP45" s="177" t="str">
        <f>IFERROR(Inv_SY_B!AP45/Inv_SY_B!$BZ45-1,"")</f>
        <v/>
      </c>
      <c r="AQ45" s="177" t="str">
        <f>IFERROR(Inv_SY_B!AQ45/Inv_SY_B!$BZ45-1,"")</f>
        <v/>
      </c>
      <c r="AR45" s="177" t="str">
        <f>IFERROR(Inv_SY_B!AR45/Inv_SY_B!$BZ45-1,"")</f>
        <v/>
      </c>
      <c r="AS45" s="177" t="str">
        <f>IFERROR(Inv_SY_B!AS45/Inv_SY_B!$BZ45-1,"")</f>
        <v/>
      </c>
      <c r="AT45" s="177" t="str">
        <f>IFERROR(Inv_SY_B!AT45/Inv_SY_B!$BZ45-1,"")</f>
        <v/>
      </c>
      <c r="AU45" s="177" t="str">
        <f>IFERROR(Inv_SY_B!AU45/Inv_SY_B!$BZ45-1,"")</f>
        <v/>
      </c>
      <c r="AV45" s="177" t="str">
        <f>IFERROR(Inv_SY_B!AV45/Inv_SY_B!$BZ45-1,"")</f>
        <v/>
      </c>
      <c r="AW45" s="177" t="str">
        <f>IFERROR(Inv_SY_B!AW45/Inv_SY_B!$CA45-1,"")</f>
        <v/>
      </c>
      <c r="AX45" s="177" t="str">
        <f>IFERROR(Inv_SY_B!AX45/Inv_SY_B!$CA45-1,"")</f>
        <v/>
      </c>
      <c r="AY45" s="177" t="str">
        <f>IFERROR(Inv_SY_B!AY45/Inv_SY_B!$CA45-1,"")</f>
        <v/>
      </c>
      <c r="AZ45" s="177" t="str">
        <f>IFERROR(Inv_SY_B!AZ45/Inv_SY_B!$CA45-1,"")</f>
        <v/>
      </c>
      <c r="BA45" s="177" t="str">
        <f>IFERROR(Inv_SY_B!BA45/Inv_SY_B!$CA45-1,"")</f>
        <v/>
      </c>
      <c r="BB45" s="177" t="str">
        <f>IFERROR(Inv_SY_B!BB45/Inv_SY_B!$CA45-1,"")</f>
        <v/>
      </c>
      <c r="BC45" s="177" t="str">
        <f>IFERROR(Inv_SY_B!BC45/Inv_SY_B!$CA45-1,"")</f>
        <v/>
      </c>
      <c r="BD45" s="177" t="str">
        <f>IFERROR(Inv_SY_B!BD45/Inv_SY_B!$CA45-1,"")</f>
        <v/>
      </c>
      <c r="BE45" s="177" t="str">
        <f>IFERROR(Inv_SY_B!BE45/Inv_SY_B!$CA45-1,"")</f>
        <v/>
      </c>
      <c r="BF45" s="177" t="str">
        <f>IFERROR(Inv_SY_B!BF45/Inv_SY_B!$CA45-1,"")</f>
        <v/>
      </c>
      <c r="BG45" s="177" t="str">
        <f>IFERROR(Inv_SY_B!BG45/Inv_SY_B!$CA45-1,"")</f>
        <v/>
      </c>
      <c r="BH45" s="177" t="str">
        <f>IFERROR(Inv_SY_B!BH45/Inv_SY_B!$CA45-1,"")</f>
        <v/>
      </c>
      <c r="BI45" s="177" t="str">
        <f>IFERROR(Inv_SY_B!BI45/Inv_SY_B!$CA45-1,"")</f>
        <v/>
      </c>
      <c r="BJ45" s="177" t="str">
        <f>IFERROR(Inv_SY_B!BJ45/Inv_SY_B!$CA45-1,"")</f>
        <v/>
      </c>
      <c r="BK45" s="177" t="str">
        <f>IFERROR(Inv_SY_B!BK45/Inv_SY_B!$CA45-1,"")</f>
        <v/>
      </c>
      <c r="BL45" s="177" t="str">
        <f>IFERROR(Inv_SY_B!BL45/Inv_SY_B!$CA45-1,"")</f>
        <v/>
      </c>
      <c r="BM45" s="177" t="str">
        <f>IFERROR(Inv_SY_B!BM45/Inv_SY_B!$CA45-1,"")</f>
        <v/>
      </c>
      <c r="BN45" s="177" t="str">
        <f>IFERROR(Inv_SY_B!BN45/Inv_SY_B!$CA45-1,"")</f>
        <v/>
      </c>
      <c r="BO45" s="177" t="str">
        <f>IFERROR(Inv_SY_B!BO45/Inv_SY_B!$CA45-1,"")</f>
        <v/>
      </c>
      <c r="BP45" s="177" t="str">
        <f>IFERROR(Inv_SY_B!BP45/Inv_SY_B!$CA45-1,"")</f>
        <v/>
      </c>
      <c r="BQ45" s="177" t="str">
        <f>IFERROR(Inv_SY_B!BQ45/Inv_SY_B!$CA45-1,"")</f>
        <v/>
      </c>
      <c r="BR45" s="177" t="str">
        <f>IFERROR(Inv_SY_B!BR45/Inv_SY_B!$CA45-1,"")</f>
        <v/>
      </c>
      <c r="BS45" s="177" t="str">
        <f>IFERROR(Inv_SY_B!BS45/Inv_SY_B!$CA45-1,"")</f>
        <v/>
      </c>
      <c r="BT45" s="177" t="str">
        <f>IFERROR(Inv_SY_B!BT45/Inv_SY_B!$CA45-1,"")</f>
        <v/>
      </c>
      <c r="BU45" s="177" t="str">
        <f>IFERROR(Inv_SY_B!BU45/Inv_SY_B!$CA45-1,"")</f>
        <v/>
      </c>
      <c r="BV45" s="177" t="str">
        <f>IFERROR(Inv_SY_B!BV45/Inv_SY_B!$CA45-1,"")</f>
        <v/>
      </c>
      <c r="BW45" s="177" t="str">
        <f>IFERROR(Inv_SY_B!BW45/Inv_SY_B!$CA45-1,"")</f>
        <v/>
      </c>
      <c r="BX45" s="177" t="str">
        <f>IFERROR(Inv_SY_B!BX45/Inv_SY_B!$CA45-1,"")</f>
        <v/>
      </c>
    </row>
    <row r="46" spans="1:76">
      <c r="B46" s="173">
        <f t="shared" si="2"/>
        <v>45879</v>
      </c>
      <c r="C46" s="177" t="str">
        <f>IFERROR(Inv_SY_B!C46/Inv_SY_B!$BY46-1,"")</f>
        <v/>
      </c>
      <c r="D46" s="177" t="str">
        <f>IFERROR(Inv_SY_B!D46/Inv_SY_B!$BY46-1,"")</f>
        <v/>
      </c>
      <c r="E46" s="177" t="str">
        <f>IFERROR(Inv_SY_B!E46/Inv_SY_B!$BY46-1,"")</f>
        <v/>
      </c>
      <c r="F46" s="177" t="str">
        <f>IFERROR(Inv_SY_B!F46/Inv_SY_B!$BY46-1,"")</f>
        <v/>
      </c>
      <c r="G46" s="177" t="str">
        <f>IFERROR(Inv_SY_B!G46/Inv_SY_B!$BY46-1,"")</f>
        <v/>
      </c>
      <c r="H46" s="177" t="str">
        <f>IFERROR(Inv_SY_B!H46/Inv_SY_B!$BY46-1,"")</f>
        <v/>
      </c>
      <c r="I46" s="177" t="str">
        <f>IFERROR(Inv_SY_B!I46/Inv_SY_B!$BY46-1,"")</f>
        <v/>
      </c>
      <c r="J46" s="177" t="str">
        <f>IFERROR(Inv_SY_B!J46/Inv_SY_B!$BY46-1,"")</f>
        <v/>
      </c>
      <c r="K46" s="177" t="str">
        <f>IFERROR(Inv_SY_B!K46/Inv_SY_B!$BY46-1,"")</f>
        <v/>
      </c>
      <c r="L46" s="177" t="str">
        <f>IFERROR(Inv_SY_B!L46/Inv_SY_B!$BY46-1,"")</f>
        <v/>
      </c>
      <c r="M46" s="177" t="str">
        <f>IFERROR(Inv_SY_B!M46/Inv_SY_B!$BY46-1,"")</f>
        <v/>
      </c>
      <c r="N46" s="177" t="str">
        <f>IFERROR(Inv_SY_B!N46/Inv_SY_B!$BY46-1,"")</f>
        <v/>
      </c>
      <c r="O46" s="177" t="str">
        <f>IFERROR(Inv_SY_B!O46/Inv_SY_B!$BY46-1,"")</f>
        <v/>
      </c>
      <c r="P46" s="177" t="str">
        <f>IFERROR(Inv_SY_B!P46/Inv_SY_B!$BY46-1,"")</f>
        <v/>
      </c>
      <c r="Q46" s="177" t="str">
        <f>IFERROR(Inv_SY_B!Q46/Inv_SY_B!$BY46-1,"")</f>
        <v/>
      </c>
      <c r="R46" s="177" t="str">
        <f>IFERROR(Inv_SY_B!R46/Inv_SY_B!$BY46-1,"")</f>
        <v/>
      </c>
      <c r="S46" s="177" t="str">
        <f>IFERROR(Inv_SY_B!S46/Inv_SY_B!$BY46-1,"")</f>
        <v/>
      </c>
      <c r="T46" s="177" t="str">
        <f>IFERROR(Inv_SY_B!T46/Inv_SY_B!$BY46-1,"")</f>
        <v/>
      </c>
      <c r="U46" s="177" t="str">
        <f>IFERROR(Inv_SY_B!U46/Inv_SY_B!$BY46-1,"")</f>
        <v/>
      </c>
      <c r="V46" s="177" t="str">
        <f>IFERROR(Inv_SY_B!V46/Inv_SY_B!$BY46-1,"")</f>
        <v/>
      </c>
      <c r="W46" s="177" t="str">
        <f>IFERROR(Inv_SY_B!W46/Inv_SY_B!$BY46-1,"")</f>
        <v/>
      </c>
      <c r="X46" s="177" t="str">
        <f>IFERROR(Inv_SY_B!X46/Inv_SY_B!$BY46-1,"")</f>
        <v/>
      </c>
      <c r="Y46" s="177" t="str">
        <f>IFERROR(Inv_SY_B!Y46/Inv_SY_B!$BY46-1,"")</f>
        <v/>
      </c>
      <c r="Z46" s="177" t="str">
        <f>IFERROR(Inv_SY_B!Z46/Inv_SY_B!$BY46-1,"")</f>
        <v/>
      </c>
      <c r="AA46" s="177" t="str">
        <f>IFERROR(Inv_SY_B!AA46/Inv_SY_B!$BY46-1,"")</f>
        <v/>
      </c>
      <c r="AB46" s="177" t="str">
        <f>IFERROR(Inv_SY_B!AB46/Inv_SY_B!$BY46-1,"")</f>
        <v/>
      </c>
      <c r="AC46" s="177" t="str">
        <f>IFERROR(Inv_SY_B!AC46/Inv_SY_B!$BY46-1,"")</f>
        <v/>
      </c>
      <c r="AD46" s="177" t="str">
        <f>IFERROR(Inv_SY_B!AD46/Inv_SY_B!$BY46-1,"")</f>
        <v/>
      </c>
      <c r="AE46" s="177" t="str">
        <f>IFERROR(Inv_SY_B!AE46/Inv_SY_B!$BZ46-1,"")</f>
        <v/>
      </c>
      <c r="AF46" s="177" t="str">
        <f>IFERROR(Inv_SY_B!AF46/Inv_SY_B!$BZ46-1,"")</f>
        <v/>
      </c>
      <c r="AG46" s="177" t="str">
        <f>IFERROR(Inv_SY_B!AG46/Inv_SY_B!$BZ46-1,"")</f>
        <v/>
      </c>
      <c r="AH46" s="177" t="str">
        <f>IFERROR(Inv_SY_B!AH46/Inv_SY_B!$BZ46-1,"")</f>
        <v/>
      </c>
      <c r="AI46" s="177" t="str">
        <f>IFERROR(Inv_SY_B!AI46/Inv_SY_B!$BZ46-1,"")</f>
        <v/>
      </c>
      <c r="AJ46" s="177" t="str">
        <f>IFERROR(Inv_SY_B!AJ46/Inv_SY_B!$BZ46-1,"")</f>
        <v/>
      </c>
      <c r="AK46" s="177" t="str">
        <f>IFERROR(Inv_SY_B!AK46/Inv_SY_B!$BZ46-1,"")</f>
        <v/>
      </c>
      <c r="AL46" s="177" t="str">
        <f>IFERROR(Inv_SY_B!AL46/Inv_SY_B!$BZ46-1,"")</f>
        <v/>
      </c>
      <c r="AM46" s="177" t="str">
        <f>IFERROR(Inv_SY_B!AM46/Inv_SY_B!$BZ46-1,"")</f>
        <v/>
      </c>
      <c r="AN46" s="177" t="str">
        <f>IFERROR(Inv_SY_B!AN46/Inv_SY_B!$BZ46-1,"")</f>
        <v/>
      </c>
      <c r="AO46" s="177" t="str">
        <f>IFERROR(Inv_SY_B!AO46/Inv_SY_B!$BZ46-1,"")</f>
        <v/>
      </c>
      <c r="AP46" s="177" t="str">
        <f>IFERROR(Inv_SY_B!AP46/Inv_SY_B!$BZ46-1,"")</f>
        <v/>
      </c>
      <c r="AQ46" s="177" t="str">
        <f>IFERROR(Inv_SY_B!AQ46/Inv_SY_B!$BZ46-1,"")</f>
        <v/>
      </c>
      <c r="AR46" s="177" t="str">
        <f>IFERROR(Inv_SY_B!AR46/Inv_SY_B!$BZ46-1,"")</f>
        <v/>
      </c>
      <c r="AS46" s="177" t="str">
        <f>IFERROR(Inv_SY_B!AS46/Inv_SY_B!$BZ46-1,"")</f>
        <v/>
      </c>
      <c r="AT46" s="177" t="str">
        <f>IFERROR(Inv_SY_B!AT46/Inv_SY_B!$BZ46-1,"")</f>
        <v/>
      </c>
      <c r="AU46" s="177" t="str">
        <f>IFERROR(Inv_SY_B!AU46/Inv_SY_B!$BZ46-1,"")</f>
        <v/>
      </c>
      <c r="AV46" s="177" t="str">
        <f>IFERROR(Inv_SY_B!AV46/Inv_SY_B!$BZ46-1,"")</f>
        <v/>
      </c>
      <c r="AW46" s="177" t="str">
        <f>IFERROR(Inv_SY_B!AW46/Inv_SY_B!$CA46-1,"")</f>
        <v/>
      </c>
      <c r="AX46" s="177" t="str">
        <f>IFERROR(Inv_SY_B!AX46/Inv_SY_B!$CA46-1,"")</f>
        <v/>
      </c>
      <c r="AY46" s="177" t="str">
        <f>IFERROR(Inv_SY_B!AY46/Inv_SY_B!$CA46-1,"")</f>
        <v/>
      </c>
      <c r="AZ46" s="177" t="str">
        <f>IFERROR(Inv_SY_B!AZ46/Inv_SY_B!$CA46-1,"")</f>
        <v/>
      </c>
      <c r="BA46" s="177" t="str">
        <f>IFERROR(Inv_SY_B!BA46/Inv_SY_B!$CA46-1,"")</f>
        <v/>
      </c>
      <c r="BB46" s="177" t="str">
        <f>IFERROR(Inv_SY_B!BB46/Inv_SY_B!$CA46-1,"")</f>
        <v/>
      </c>
      <c r="BC46" s="177" t="str">
        <f>IFERROR(Inv_SY_B!BC46/Inv_SY_B!$CA46-1,"")</f>
        <v/>
      </c>
      <c r="BD46" s="177" t="str">
        <f>IFERROR(Inv_SY_B!BD46/Inv_SY_B!$CA46-1,"")</f>
        <v/>
      </c>
      <c r="BE46" s="177" t="str">
        <f>IFERROR(Inv_SY_B!BE46/Inv_SY_B!$CA46-1,"")</f>
        <v/>
      </c>
      <c r="BF46" s="177" t="str">
        <f>IFERROR(Inv_SY_B!BF46/Inv_SY_B!$CA46-1,"")</f>
        <v/>
      </c>
      <c r="BG46" s="177" t="str">
        <f>IFERROR(Inv_SY_B!BG46/Inv_SY_B!$CA46-1,"")</f>
        <v/>
      </c>
      <c r="BH46" s="177" t="str">
        <f>IFERROR(Inv_SY_B!BH46/Inv_SY_B!$CA46-1,"")</f>
        <v/>
      </c>
      <c r="BI46" s="177" t="str">
        <f>IFERROR(Inv_SY_B!BI46/Inv_SY_B!$CA46-1,"")</f>
        <v/>
      </c>
      <c r="BJ46" s="177" t="str">
        <f>IFERROR(Inv_SY_B!BJ46/Inv_SY_B!$CA46-1,"")</f>
        <v/>
      </c>
      <c r="BK46" s="177" t="str">
        <f>IFERROR(Inv_SY_B!BK46/Inv_SY_B!$CA46-1,"")</f>
        <v/>
      </c>
      <c r="BL46" s="177" t="str">
        <f>IFERROR(Inv_SY_B!BL46/Inv_SY_B!$CA46-1,"")</f>
        <v/>
      </c>
      <c r="BM46" s="177" t="str">
        <f>IFERROR(Inv_SY_B!BM46/Inv_SY_B!$CA46-1,"")</f>
        <v/>
      </c>
      <c r="BN46" s="177" t="str">
        <f>IFERROR(Inv_SY_B!BN46/Inv_SY_B!$CA46-1,"")</f>
        <v/>
      </c>
      <c r="BO46" s="177" t="str">
        <f>IFERROR(Inv_SY_B!BO46/Inv_SY_B!$CA46-1,"")</f>
        <v/>
      </c>
      <c r="BP46" s="177" t="str">
        <f>IFERROR(Inv_SY_B!BP46/Inv_SY_B!$CA46-1,"")</f>
        <v/>
      </c>
      <c r="BQ46" s="177" t="str">
        <f>IFERROR(Inv_SY_B!BQ46/Inv_SY_B!$CA46-1,"")</f>
        <v/>
      </c>
      <c r="BR46" s="177" t="str">
        <f>IFERROR(Inv_SY_B!BR46/Inv_SY_B!$CA46-1,"")</f>
        <v/>
      </c>
      <c r="BS46" s="177" t="str">
        <f>IFERROR(Inv_SY_B!BS46/Inv_SY_B!$CA46-1,"")</f>
        <v/>
      </c>
      <c r="BT46" s="177" t="str">
        <f>IFERROR(Inv_SY_B!BT46/Inv_SY_B!$CA46-1,"")</f>
        <v/>
      </c>
      <c r="BU46" s="177" t="str">
        <f>IFERROR(Inv_SY_B!BU46/Inv_SY_B!$CA46-1,"")</f>
        <v/>
      </c>
      <c r="BV46" s="177" t="str">
        <f>IFERROR(Inv_SY_B!BV46/Inv_SY_B!$CA46-1,"")</f>
        <v/>
      </c>
      <c r="BW46" s="177" t="str">
        <f>IFERROR(Inv_SY_B!BW46/Inv_SY_B!$CA46-1,"")</f>
        <v/>
      </c>
      <c r="BX46" s="177" t="str">
        <f>IFERROR(Inv_SY_B!BX46/Inv_SY_B!$CA46-1,"")</f>
        <v/>
      </c>
    </row>
    <row r="47" spans="1:76">
      <c r="B47" s="173">
        <f t="shared" si="2"/>
        <v>45880</v>
      </c>
      <c r="C47" s="177" t="str">
        <f>IFERROR(Inv_SY_B!C47/Inv_SY_B!$BY47-1,"")</f>
        <v/>
      </c>
      <c r="D47" s="177" t="str">
        <f>IFERROR(Inv_SY_B!D47/Inv_SY_B!$BY47-1,"")</f>
        <v/>
      </c>
      <c r="E47" s="177" t="str">
        <f>IFERROR(Inv_SY_B!E47/Inv_SY_B!$BY47-1,"")</f>
        <v/>
      </c>
      <c r="F47" s="177" t="str">
        <f>IFERROR(Inv_SY_B!F47/Inv_SY_B!$BY47-1,"")</f>
        <v/>
      </c>
      <c r="G47" s="177" t="str">
        <f>IFERROR(Inv_SY_B!G47/Inv_SY_B!$BY47-1,"")</f>
        <v/>
      </c>
      <c r="H47" s="177" t="str">
        <f>IFERROR(Inv_SY_B!H47/Inv_SY_B!$BY47-1,"")</f>
        <v/>
      </c>
      <c r="I47" s="177" t="str">
        <f>IFERROR(Inv_SY_B!I47/Inv_SY_B!$BY47-1,"")</f>
        <v/>
      </c>
      <c r="J47" s="177" t="str">
        <f>IFERROR(Inv_SY_B!J47/Inv_SY_B!$BY47-1,"")</f>
        <v/>
      </c>
      <c r="K47" s="177" t="str">
        <f>IFERROR(Inv_SY_B!K47/Inv_SY_B!$BY47-1,"")</f>
        <v/>
      </c>
      <c r="L47" s="177" t="str">
        <f>IFERROR(Inv_SY_B!L47/Inv_SY_B!$BY47-1,"")</f>
        <v/>
      </c>
      <c r="M47" s="177" t="str">
        <f>IFERROR(Inv_SY_B!M47/Inv_SY_B!$BY47-1,"")</f>
        <v/>
      </c>
      <c r="N47" s="177" t="str">
        <f>IFERROR(Inv_SY_B!N47/Inv_SY_B!$BY47-1,"")</f>
        <v/>
      </c>
      <c r="O47" s="177" t="str">
        <f>IFERROR(Inv_SY_B!O47/Inv_SY_B!$BY47-1,"")</f>
        <v/>
      </c>
      <c r="P47" s="177" t="str">
        <f>IFERROR(Inv_SY_B!P47/Inv_SY_B!$BY47-1,"")</f>
        <v/>
      </c>
      <c r="Q47" s="177" t="str">
        <f>IFERROR(Inv_SY_B!Q47/Inv_SY_B!$BY47-1,"")</f>
        <v/>
      </c>
      <c r="R47" s="177" t="str">
        <f>IFERROR(Inv_SY_B!R47/Inv_SY_B!$BY47-1,"")</f>
        <v/>
      </c>
      <c r="S47" s="177" t="str">
        <f>IFERROR(Inv_SY_B!S47/Inv_SY_B!$BY47-1,"")</f>
        <v/>
      </c>
      <c r="T47" s="177" t="str">
        <f>IFERROR(Inv_SY_B!T47/Inv_SY_B!$BY47-1,"")</f>
        <v/>
      </c>
      <c r="U47" s="177" t="str">
        <f>IFERROR(Inv_SY_B!U47/Inv_SY_B!$BY47-1,"")</f>
        <v/>
      </c>
      <c r="V47" s="177" t="str">
        <f>IFERROR(Inv_SY_B!V47/Inv_SY_B!$BY47-1,"")</f>
        <v/>
      </c>
      <c r="W47" s="177" t="str">
        <f>IFERROR(Inv_SY_B!W47/Inv_SY_B!$BY47-1,"")</f>
        <v/>
      </c>
      <c r="X47" s="177" t="str">
        <f>IFERROR(Inv_SY_B!X47/Inv_SY_B!$BY47-1,"")</f>
        <v/>
      </c>
      <c r="Y47" s="177" t="str">
        <f>IFERROR(Inv_SY_B!Y47/Inv_SY_B!$BY47-1,"")</f>
        <v/>
      </c>
      <c r="Z47" s="177" t="str">
        <f>IFERROR(Inv_SY_B!Z47/Inv_SY_B!$BY47-1,"")</f>
        <v/>
      </c>
      <c r="AA47" s="177" t="str">
        <f>IFERROR(Inv_SY_B!AA47/Inv_SY_B!$BY47-1,"")</f>
        <v/>
      </c>
      <c r="AB47" s="177" t="str">
        <f>IFERROR(Inv_SY_B!AB47/Inv_SY_B!$BY47-1,"")</f>
        <v/>
      </c>
      <c r="AC47" s="177" t="str">
        <f>IFERROR(Inv_SY_B!AC47/Inv_SY_B!$BY47-1,"")</f>
        <v/>
      </c>
      <c r="AD47" s="177" t="str">
        <f>IFERROR(Inv_SY_B!AD47/Inv_SY_B!$BY47-1,"")</f>
        <v/>
      </c>
      <c r="AE47" s="177" t="str">
        <f>IFERROR(Inv_SY_B!AE47/Inv_SY_B!$BZ47-1,"")</f>
        <v/>
      </c>
      <c r="AF47" s="177" t="str">
        <f>IFERROR(Inv_SY_B!AF47/Inv_SY_B!$BZ47-1,"")</f>
        <v/>
      </c>
      <c r="AG47" s="177" t="str">
        <f>IFERROR(Inv_SY_B!AG47/Inv_SY_B!$BZ47-1,"")</f>
        <v/>
      </c>
      <c r="AH47" s="177" t="str">
        <f>IFERROR(Inv_SY_B!AH47/Inv_SY_B!$BZ47-1,"")</f>
        <v/>
      </c>
      <c r="AI47" s="177" t="str">
        <f>IFERROR(Inv_SY_B!AI47/Inv_SY_B!$BZ47-1,"")</f>
        <v/>
      </c>
      <c r="AJ47" s="177" t="str">
        <f>IFERROR(Inv_SY_B!AJ47/Inv_SY_B!$BZ47-1,"")</f>
        <v/>
      </c>
      <c r="AK47" s="177" t="str">
        <f>IFERROR(Inv_SY_B!AK47/Inv_SY_B!$BZ47-1,"")</f>
        <v/>
      </c>
      <c r="AL47" s="177" t="str">
        <f>IFERROR(Inv_SY_B!AL47/Inv_SY_B!$BZ47-1,"")</f>
        <v/>
      </c>
      <c r="AM47" s="177" t="str">
        <f>IFERROR(Inv_SY_B!AM47/Inv_SY_B!$BZ47-1,"")</f>
        <v/>
      </c>
      <c r="AN47" s="177" t="str">
        <f>IFERROR(Inv_SY_B!AN47/Inv_SY_B!$BZ47-1,"")</f>
        <v/>
      </c>
      <c r="AO47" s="177" t="str">
        <f>IFERROR(Inv_SY_B!AO47/Inv_SY_B!$BZ47-1,"")</f>
        <v/>
      </c>
      <c r="AP47" s="177" t="str">
        <f>IFERROR(Inv_SY_B!AP47/Inv_SY_B!$BZ47-1,"")</f>
        <v/>
      </c>
      <c r="AQ47" s="177" t="str">
        <f>IFERROR(Inv_SY_B!AQ47/Inv_SY_B!$BZ47-1,"")</f>
        <v/>
      </c>
      <c r="AR47" s="177" t="str">
        <f>IFERROR(Inv_SY_B!AR47/Inv_SY_B!$BZ47-1,"")</f>
        <v/>
      </c>
      <c r="AS47" s="177" t="str">
        <f>IFERROR(Inv_SY_B!AS47/Inv_SY_B!$BZ47-1,"")</f>
        <v/>
      </c>
      <c r="AT47" s="177" t="str">
        <f>IFERROR(Inv_SY_B!AT47/Inv_SY_B!$BZ47-1,"")</f>
        <v/>
      </c>
      <c r="AU47" s="177" t="str">
        <f>IFERROR(Inv_SY_B!AU47/Inv_SY_B!$BZ47-1,"")</f>
        <v/>
      </c>
      <c r="AV47" s="177" t="str">
        <f>IFERROR(Inv_SY_B!AV47/Inv_SY_B!$BZ47-1,"")</f>
        <v/>
      </c>
      <c r="AW47" s="177" t="str">
        <f>IFERROR(Inv_SY_B!AW47/Inv_SY_B!$CA47-1,"")</f>
        <v/>
      </c>
      <c r="AX47" s="177" t="str">
        <f>IFERROR(Inv_SY_B!AX47/Inv_SY_B!$CA47-1,"")</f>
        <v/>
      </c>
      <c r="AY47" s="177" t="str">
        <f>IFERROR(Inv_SY_B!AY47/Inv_SY_B!$CA47-1,"")</f>
        <v/>
      </c>
      <c r="AZ47" s="177" t="str">
        <f>IFERROR(Inv_SY_B!AZ47/Inv_SY_B!$CA47-1,"")</f>
        <v/>
      </c>
      <c r="BA47" s="177" t="str">
        <f>IFERROR(Inv_SY_B!BA47/Inv_SY_B!$CA47-1,"")</f>
        <v/>
      </c>
      <c r="BB47" s="177" t="str">
        <f>IFERROR(Inv_SY_B!BB47/Inv_SY_B!$CA47-1,"")</f>
        <v/>
      </c>
      <c r="BC47" s="177" t="str">
        <f>IFERROR(Inv_SY_B!BC47/Inv_SY_B!$CA47-1,"")</f>
        <v/>
      </c>
      <c r="BD47" s="177" t="str">
        <f>IFERROR(Inv_SY_B!BD47/Inv_SY_B!$CA47-1,"")</f>
        <v/>
      </c>
      <c r="BE47" s="177" t="str">
        <f>IFERROR(Inv_SY_B!BE47/Inv_SY_B!$CA47-1,"")</f>
        <v/>
      </c>
      <c r="BF47" s="177" t="str">
        <f>IFERROR(Inv_SY_B!BF47/Inv_SY_B!$CA47-1,"")</f>
        <v/>
      </c>
      <c r="BG47" s="177" t="str">
        <f>IFERROR(Inv_SY_B!BG47/Inv_SY_B!$CA47-1,"")</f>
        <v/>
      </c>
      <c r="BH47" s="177" t="str">
        <f>IFERROR(Inv_SY_B!BH47/Inv_SY_B!$CA47-1,"")</f>
        <v/>
      </c>
      <c r="BI47" s="177" t="str">
        <f>IFERROR(Inv_SY_B!BI47/Inv_SY_B!$CA47-1,"")</f>
        <v/>
      </c>
      <c r="BJ47" s="177" t="str">
        <f>IFERROR(Inv_SY_B!BJ47/Inv_SY_B!$CA47-1,"")</f>
        <v/>
      </c>
      <c r="BK47" s="177" t="str">
        <f>IFERROR(Inv_SY_B!BK47/Inv_SY_B!$CA47-1,"")</f>
        <v/>
      </c>
      <c r="BL47" s="177" t="str">
        <f>IFERROR(Inv_SY_B!BL47/Inv_SY_B!$CA47-1,"")</f>
        <v/>
      </c>
      <c r="BM47" s="177" t="str">
        <f>IFERROR(Inv_SY_B!BM47/Inv_SY_B!$CA47-1,"")</f>
        <v/>
      </c>
      <c r="BN47" s="177" t="str">
        <f>IFERROR(Inv_SY_B!BN47/Inv_SY_B!$CA47-1,"")</f>
        <v/>
      </c>
      <c r="BO47" s="177" t="str">
        <f>IFERROR(Inv_SY_B!BO47/Inv_SY_B!$CA47-1,"")</f>
        <v/>
      </c>
      <c r="BP47" s="177" t="str">
        <f>IFERROR(Inv_SY_B!BP47/Inv_SY_B!$CA47-1,"")</f>
        <v/>
      </c>
      <c r="BQ47" s="177" t="str">
        <f>IFERROR(Inv_SY_B!BQ47/Inv_SY_B!$CA47-1,"")</f>
        <v/>
      </c>
      <c r="BR47" s="177" t="str">
        <f>IFERROR(Inv_SY_B!BR47/Inv_SY_B!$CA47-1,"")</f>
        <v/>
      </c>
      <c r="BS47" s="177" t="str">
        <f>IFERROR(Inv_SY_B!BS47/Inv_SY_B!$CA47-1,"")</f>
        <v/>
      </c>
      <c r="BT47" s="177" t="str">
        <f>IFERROR(Inv_SY_B!BT47/Inv_SY_B!$CA47-1,"")</f>
        <v/>
      </c>
      <c r="BU47" s="177" t="str">
        <f>IFERROR(Inv_SY_B!BU47/Inv_SY_B!$CA47-1,"")</f>
        <v/>
      </c>
      <c r="BV47" s="177" t="str">
        <f>IFERROR(Inv_SY_B!BV47/Inv_SY_B!$CA47-1,"")</f>
        <v/>
      </c>
      <c r="BW47" s="177" t="str">
        <f>IFERROR(Inv_SY_B!BW47/Inv_SY_B!$CA47-1,"")</f>
        <v/>
      </c>
      <c r="BX47" s="177" t="str">
        <f>IFERROR(Inv_SY_B!BX47/Inv_SY_B!$CA47-1,"")</f>
        <v/>
      </c>
    </row>
    <row r="48" spans="1:76">
      <c r="B48" s="173">
        <f t="shared" si="2"/>
        <v>45881</v>
      </c>
      <c r="C48" s="177" t="str">
        <f>IFERROR(Inv_SY_B!C48/Inv_SY_B!$BY48-1,"")</f>
        <v/>
      </c>
      <c r="D48" s="177" t="str">
        <f>IFERROR(Inv_SY_B!D48/Inv_SY_B!$BY48-1,"")</f>
        <v/>
      </c>
      <c r="E48" s="177" t="str">
        <f>IFERROR(Inv_SY_B!E48/Inv_SY_B!$BY48-1,"")</f>
        <v/>
      </c>
      <c r="F48" s="177" t="str">
        <f>IFERROR(Inv_SY_B!F48/Inv_SY_B!$BY48-1,"")</f>
        <v/>
      </c>
      <c r="G48" s="177" t="str">
        <f>IFERROR(Inv_SY_B!G48/Inv_SY_B!$BY48-1,"")</f>
        <v/>
      </c>
      <c r="H48" s="177" t="str">
        <f>IFERROR(Inv_SY_B!H48/Inv_SY_B!$BY48-1,"")</f>
        <v/>
      </c>
      <c r="I48" s="177" t="str">
        <f>IFERROR(Inv_SY_B!I48/Inv_SY_B!$BY48-1,"")</f>
        <v/>
      </c>
      <c r="J48" s="177" t="str">
        <f>IFERROR(Inv_SY_B!J48/Inv_SY_B!$BY48-1,"")</f>
        <v/>
      </c>
      <c r="K48" s="177" t="str">
        <f>IFERROR(Inv_SY_B!K48/Inv_SY_B!$BY48-1,"")</f>
        <v/>
      </c>
      <c r="L48" s="177" t="str">
        <f>IFERROR(Inv_SY_B!L48/Inv_SY_B!$BY48-1,"")</f>
        <v/>
      </c>
      <c r="M48" s="177" t="str">
        <f>IFERROR(Inv_SY_B!M48/Inv_SY_B!$BY48-1,"")</f>
        <v/>
      </c>
      <c r="N48" s="177" t="str">
        <f>IFERROR(Inv_SY_B!N48/Inv_SY_B!$BY48-1,"")</f>
        <v/>
      </c>
      <c r="O48" s="177" t="str">
        <f>IFERROR(Inv_SY_B!O48/Inv_SY_B!$BY48-1,"")</f>
        <v/>
      </c>
      <c r="P48" s="177" t="str">
        <f>IFERROR(Inv_SY_B!P48/Inv_SY_B!$BY48-1,"")</f>
        <v/>
      </c>
      <c r="Q48" s="177" t="str">
        <f>IFERROR(Inv_SY_B!Q48/Inv_SY_B!$BY48-1,"")</f>
        <v/>
      </c>
      <c r="R48" s="177" t="str">
        <f>IFERROR(Inv_SY_B!R48/Inv_SY_B!$BY48-1,"")</f>
        <v/>
      </c>
      <c r="S48" s="177" t="str">
        <f>IFERROR(Inv_SY_B!S48/Inv_SY_B!$BY48-1,"")</f>
        <v/>
      </c>
      <c r="T48" s="177" t="str">
        <f>IFERROR(Inv_SY_B!T48/Inv_SY_B!$BY48-1,"")</f>
        <v/>
      </c>
      <c r="U48" s="177" t="str">
        <f>IFERROR(Inv_SY_B!U48/Inv_SY_B!$BY48-1,"")</f>
        <v/>
      </c>
      <c r="V48" s="177" t="str">
        <f>IFERROR(Inv_SY_B!V48/Inv_SY_B!$BY48-1,"")</f>
        <v/>
      </c>
      <c r="W48" s="177" t="str">
        <f>IFERROR(Inv_SY_B!W48/Inv_SY_B!$BY48-1,"")</f>
        <v/>
      </c>
      <c r="X48" s="177" t="str">
        <f>IFERROR(Inv_SY_B!X48/Inv_SY_B!$BY48-1,"")</f>
        <v/>
      </c>
      <c r="Y48" s="177" t="str">
        <f>IFERROR(Inv_SY_B!Y48/Inv_SY_B!$BY48-1,"")</f>
        <v/>
      </c>
      <c r="Z48" s="177" t="str">
        <f>IFERROR(Inv_SY_B!Z48/Inv_SY_B!$BY48-1,"")</f>
        <v/>
      </c>
      <c r="AA48" s="177" t="str">
        <f>IFERROR(Inv_SY_B!AA48/Inv_SY_B!$BY48-1,"")</f>
        <v/>
      </c>
      <c r="AB48" s="177" t="str">
        <f>IFERROR(Inv_SY_B!AB48/Inv_SY_B!$BY48-1,"")</f>
        <v/>
      </c>
      <c r="AC48" s="177" t="str">
        <f>IFERROR(Inv_SY_B!AC48/Inv_SY_B!$BY48-1,"")</f>
        <v/>
      </c>
      <c r="AD48" s="177" t="str">
        <f>IFERROR(Inv_SY_B!AD48/Inv_SY_B!$BY48-1,"")</f>
        <v/>
      </c>
      <c r="AE48" s="177" t="str">
        <f>IFERROR(Inv_SY_B!AE48/Inv_SY_B!$BZ48-1,"")</f>
        <v/>
      </c>
      <c r="AF48" s="177" t="str">
        <f>IFERROR(Inv_SY_B!AF48/Inv_SY_B!$BZ48-1,"")</f>
        <v/>
      </c>
      <c r="AG48" s="177" t="str">
        <f>IFERROR(Inv_SY_B!AG48/Inv_SY_B!$BZ48-1,"")</f>
        <v/>
      </c>
      <c r="AH48" s="177" t="str">
        <f>IFERROR(Inv_SY_B!AH48/Inv_SY_B!$BZ48-1,"")</f>
        <v/>
      </c>
      <c r="AI48" s="177" t="str">
        <f>IFERROR(Inv_SY_B!AI48/Inv_SY_B!$BZ48-1,"")</f>
        <v/>
      </c>
      <c r="AJ48" s="177" t="str">
        <f>IFERROR(Inv_SY_B!AJ48/Inv_SY_B!$BZ48-1,"")</f>
        <v/>
      </c>
      <c r="AK48" s="177" t="str">
        <f>IFERROR(Inv_SY_B!AK48/Inv_SY_B!$BZ48-1,"")</f>
        <v/>
      </c>
      <c r="AL48" s="177" t="str">
        <f>IFERROR(Inv_SY_B!AL48/Inv_SY_B!$BZ48-1,"")</f>
        <v/>
      </c>
      <c r="AM48" s="177" t="str">
        <f>IFERROR(Inv_SY_B!AM48/Inv_SY_B!$BZ48-1,"")</f>
        <v/>
      </c>
      <c r="AN48" s="177" t="str">
        <f>IFERROR(Inv_SY_B!AN48/Inv_SY_B!$BZ48-1,"")</f>
        <v/>
      </c>
      <c r="AO48" s="177" t="str">
        <f>IFERROR(Inv_SY_B!AO48/Inv_SY_B!$BZ48-1,"")</f>
        <v/>
      </c>
      <c r="AP48" s="177" t="str">
        <f>IFERROR(Inv_SY_B!AP48/Inv_SY_B!$BZ48-1,"")</f>
        <v/>
      </c>
      <c r="AQ48" s="177" t="str">
        <f>IFERROR(Inv_SY_B!AQ48/Inv_SY_B!$BZ48-1,"")</f>
        <v/>
      </c>
      <c r="AR48" s="177" t="str">
        <f>IFERROR(Inv_SY_B!AR48/Inv_SY_B!$BZ48-1,"")</f>
        <v/>
      </c>
      <c r="AS48" s="177" t="str">
        <f>IFERROR(Inv_SY_B!AS48/Inv_SY_B!$BZ48-1,"")</f>
        <v/>
      </c>
      <c r="AT48" s="177" t="str">
        <f>IFERROR(Inv_SY_B!AT48/Inv_SY_B!$BZ48-1,"")</f>
        <v/>
      </c>
      <c r="AU48" s="177" t="str">
        <f>IFERROR(Inv_SY_B!AU48/Inv_SY_B!$BZ48-1,"")</f>
        <v/>
      </c>
      <c r="AV48" s="177" t="str">
        <f>IFERROR(Inv_SY_B!AV48/Inv_SY_B!$BZ48-1,"")</f>
        <v/>
      </c>
      <c r="AW48" s="177" t="str">
        <f>IFERROR(Inv_SY_B!AW48/Inv_SY_B!$CA48-1,"")</f>
        <v/>
      </c>
      <c r="AX48" s="177" t="str">
        <f>IFERROR(Inv_SY_B!AX48/Inv_SY_B!$CA48-1,"")</f>
        <v/>
      </c>
      <c r="AY48" s="177" t="str">
        <f>IFERROR(Inv_SY_B!AY48/Inv_SY_B!$CA48-1,"")</f>
        <v/>
      </c>
      <c r="AZ48" s="177" t="str">
        <f>IFERROR(Inv_SY_B!AZ48/Inv_SY_B!$CA48-1,"")</f>
        <v/>
      </c>
      <c r="BA48" s="177" t="str">
        <f>IFERROR(Inv_SY_B!BA48/Inv_SY_B!$CA48-1,"")</f>
        <v/>
      </c>
      <c r="BB48" s="177" t="str">
        <f>IFERROR(Inv_SY_B!BB48/Inv_SY_B!$CA48-1,"")</f>
        <v/>
      </c>
      <c r="BC48" s="177" t="str">
        <f>IFERROR(Inv_SY_B!BC48/Inv_SY_B!$CA48-1,"")</f>
        <v/>
      </c>
      <c r="BD48" s="177" t="str">
        <f>IFERROR(Inv_SY_B!BD48/Inv_SY_B!$CA48-1,"")</f>
        <v/>
      </c>
      <c r="BE48" s="177" t="str">
        <f>IFERROR(Inv_SY_B!BE48/Inv_SY_B!$CA48-1,"")</f>
        <v/>
      </c>
      <c r="BF48" s="177" t="str">
        <f>IFERROR(Inv_SY_B!BF48/Inv_SY_B!$CA48-1,"")</f>
        <v/>
      </c>
      <c r="BG48" s="177" t="str">
        <f>IFERROR(Inv_SY_B!BG48/Inv_SY_B!$CA48-1,"")</f>
        <v/>
      </c>
      <c r="BH48" s="177" t="str">
        <f>IFERROR(Inv_SY_B!BH48/Inv_SY_B!$CA48-1,"")</f>
        <v/>
      </c>
      <c r="BI48" s="177" t="str">
        <f>IFERROR(Inv_SY_B!BI48/Inv_SY_B!$CA48-1,"")</f>
        <v/>
      </c>
      <c r="BJ48" s="177" t="str">
        <f>IFERROR(Inv_SY_B!BJ48/Inv_SY_B!$CA48-1,"")</f>
        <v/>
      </c>
      <c r="BK48" s="177" t="str">
        <f>IFERROR(Inv_SY_B!BK48/Inv_SY_B!$CA48-1,"")</f>
        <v/>
      </c>
      <c r="BL48" s="177" t="str">
        <f>IFERROR(Inv_SY_B!BL48/Inv_SY_B!$CA48-1,"")</f>
        <v/>
      </c>
      <c r="BM48" s="177" t="str">
        <f>IFERROR(Inv_SY_B!BM48/Inv_SY_B!$CA48-1,"")</f>
        <v/>
      </c>
      <c r="BN48" s="177" t="str">
        <f>IFERROR(Inv_SY_B!BN48/Inv_SY_B!$CA48-1,"")</f>
        <v/>
      </c>
      <c r="BO48" s="177" t="str">
        <f>IFERROR(Inv_SY_B!BO48/Inv_SY_B!$CA48-1,"")</f>
        <v/>
      </c>
      <c r="BP48" s="177" t="str">
        <f>IFERROR(Inv_SY_B!BP48/Inv_SY_B!$CA48-1,"")</f>
        <v/>
      </c>
      <c r="BQ48" s="177" t="str">
        <f>IFERROR(Inv_SY_B!BQ48/Inv_SY_B!$CA48-1,"")</f>
        <v/>
      </c>
      <c r="BR48" s="177" t="str">
        <f>IFERROR(Inv_SY_B!BR48/Inv_SY_B!$CA48-1,"")</f>
        <v/>
      </c>
      <c r="BS48" s="177" t="str">
        <f>IFERROR(Inv_SY_B!BS48/Inv_SY_B!$CA48-1,"")</f>
        <v/>
      </c>
      <c r="BT48" s="177" t="str">
        <f>IFERROR(Inv_SY_B!BT48/Inv_SY_B!$CA48-1,"")</f>
        <v/>
      </c>
      <c r="BU48" s="177" t="str">
        <f>IFERROR(Inv_SY_B!BU48/Inv_SY_B!$CA48-1,"")</f>
        <v/>
      </c>
      <c r="BV48" s="177" t="str">
        <f>IFERROR(Inv_SY_B!BV48/Inv_SY_B!$CA48-1,"")</f>
        <v/>
      </c>
      <c r="BW48" s="177" t="str">
        <f>IFERROR(Inv_SY_B!BW48/Inv_SY_B!$CA48-1,"")</f>
        <v/>
      </c>
      <c r="BX48" s="177" t="str">
        <f>IFERROR(Inv_SY_B!BX48/Inv_SY_B!$CA48-1,"")</f>
        <v/>
      </c>
    </row>
    <row r="49" spans="2:76">
      <c r="B49" s="173">
        <f t="shared" si="2"/>
        <v>45882</v>
      </c>
      <c r="C49" s="177" t="str">
        <f>IFERROR(Inv_SY_B!C49/Inv_SY_B!$BY49-1,"")</f>
        <v/>
      </c>
      <c r="D49" s="177" t="str">
        <f>IFERROR(Inv_SY_B!D49/Inv_SY_B!$BY49-1,"")</f>
        <v/>
      </c>
      <c r="E49" s="177" t="str">
        <f>IFERROR(Inv_SY_B!E49/Inv_SY_B!$BY49-1,"")</f>
        <v/>
      </c>
      <c r="F49" s="177" t="str">
        <f>IFERROR(Inv_SY_B!F49/Inv_SY_B!$BY49-1,"")</f>
        <v/>
      </c>
      <c r="G49" s="177" t="str">
        <f>IFERROR(Inv_SY_B!G49/Inv_SY_B!$BY49-1,"")</f>
        <v/>
      </c>
      <c r="H49" s="177" t="str">
        <f>IFERROR(Inv_SY_B!H49/Inv_SY_B!$BY49-1,"")</f>
        <v/>
      </c>
      <c r="I49" s="177" t="str">
        <f>IFERROR(Inv_SY_B!I49/Inv_SY_B!$BY49-1,"")</f>
        <v/>
      </c>
      <c r="J49" s="177" t="str">
        <f>IFERROR(Inv_SY_B!J49/Inv_SY_B!$BY49-1,"")</f>
        <v/>
      </c>
      <c r="K49" s="177" t="str">
        <f>IFERROR(Inv_SY_B!K49/Inv_SY_B!$BY49-1,"")</f>
        <v/>
      </c>
      <c r="L49" s="177" t="str">
        <f>IFERROR(Inv_SY_B!L49/Inv_SY_B!$BY49-1,"")</f>
        <v/>
      </c>
      <c r="M49" s="177" t="str">
        <f>IFERROR(Inv_SY_B!M49/Inv_SY_B!$BY49-1,"")</f>
        <v/>
      </c>
      <c r="N49" s="177" t="str">
        <f>IFERROR(Inv_SY_B!N49/Inv_SY_B!$BY49-1,"")</f>
        <v/>
      </c>
      <c r="O49" s="177" t="str">
        <f>IFERROR(Inv_SY_B!O49/Inv_SY_B!$BY49-1,"")</f>
        <v/>
      </c>
      <c r="P49" s="177" t="str">
        <f>IFERROR(Inv_SY_B!P49/Inv_SY_B!$BY49-1,"")</f>
        <v/>
      </c>
      <c r="Q49" s="177" t="str">
        <f>IFERROR(Inv_SY_B!Q49/Inv_SY_B!$BY49-1,"")</f>
        <v/>
      </c>
      <c r="R49" s="177" t="str">
        <f>IFERROR(Inv_SY_B!R49/Inv_SY_B!$BY49-1,"")</f>
        <v/>
      </c>
      <c r="S49" s="177" t="str">
        <f>IFERROR(Inv_SY_B!S49/Inv_SY_B!$BY49-1,"")</f>
        <v/>
      </c>
      <c r="T49" s="177" t="str">
        <f>IFERROR(Inv_SY_B!T49/Inv_SY_B!$BY49-1,"")</f>
        <v/>
      </c>
      <c r="U49" s="177" t="str">
        <f>IFERROR(Inv_SY_B!U49/Inv_SY_B!$BY49-1,"")</f>
        <v/>
      </c>
      <c r="V49" s="177" t="str">
        <f>IFERROR(Inv_SY_B!V49/Inv_SY_B!$BY49-1,"")</f>
        <v/>
      </c>
      <c r="W49" s="177" t="str">
        <f>IFERROR(Inv_SY_B!W49/Inv_SY_B!$BY49-1,"")</f>
        <v/>
      </c>
      <c r="X49" s="177" t="str">
        <f>IFERROR(Inv_SY_B!X49/Inv_SY_B!$BY49-1,"")</f>
        <v/>
      </c>
      <c r="Y49" s="177" t="str">
        <f>IFERROR(Inv_SY_B!Y49/Inv_SY_B!$BY49-1,"")</f>
        <v/>
      </c>
      <c r="Z49" s="177" t="str">
        <f>IFERROR(Inv_SY_B!Z49/Inv_SY_B!$BY49-1,"")</f>
        <v/>
      </c>
      <c r="AA49" s="177" t="str">
        <f>IFERROR(Inv_SY_B!AA49/Inv_SY_B!$BY49-1,"")</f>
        <v/>
      </c>
      <c r="AB49" s="177" t="str">
        <f>IFERROR(Inv_SY_B!AB49/Inv_SY_B!$BY49-1,"")</f>
        <v/>
      </c>
      <c r="AC49" s="177" t="str">
        <f>IFERROR(Inv_SY_B!AC49/Inv_SY_B!$BY49-1,"")</f>
        <v/>
      </c>
      <c r="AD49" s="177" t="str">
        <f>IFERROR(Inv_SY_B!AD49/Inv_SY_B!$BY49-1,"")</f>
        <v/>
      </c>
      <c r="AE49" s="177" t="str">
        <f>IFERROR(Inv_SY_B!AE49/Inv_SY_B!$BZ49-1,"")</f>
        <v/>
      </c>
      <c r="AF49" s="177" t="str">
        <f>IFERROR(Inv_SY_B!AF49/Inv_SY_B!$BZ49-1,"")</f>
        <v/>
      </c>
      <c r="AG49" s="177" t="str">
        <f>IFERROR(Inv_SY_B!AG49/Inv_SY_B!$BZ49-1,"")</f>
        <v/>
      </c>
      <c r="AH49" s="177" t="str">
        <f>IFERROR(Inv_SY_B!AH49/Inv_SY_B!$BZ49-1,"")</f>
        <v/>
      </c>
      <c r="AI49" s="177" t="str">
        <f>IFERROR(Inv_SY_B!AI49/Inv_SY_B!$BZ49-1,"")</f>
        <v/>
      </c>
      <c r="AJ49" s="177" t="str">
        <f>IFERROR(Inv_SY_B!AJ49/Inv_SY_B!$BZ49-1,"")</f>
        <v/>
      </c>
      <c r="AK49" s="177" t="str">
        <f>IFERROR(Inv_SY_B!AK49/Inv_SY_B!$BZ49-1,"")</f>
        <v/>
      </c>
      <c r="AL49" s="177" t="str">
        <f>IFERROR(Inv_SY_B!AL49/Inv_SY_B!$BZ49-1,"")</f>
        <v/>
      </c>
      <c r="AM49" s="177" t="str">
        <f>IFERROR(Inv_SY_B!AM49/Inv_SY_B!$BZ49-1,"")</f>
        <v/>
      </c>
      <c r="AN49" s="177" t="str">
        <f>IFERROR(Inv_SY_B!AN49/Inv_SY_B!$BZ49-1,"")</f>
        <v/>
      </c>
      <c r="AO49" s="177" t="str">
        <f>IFERROR(Inv_SY_B!AO49/Inv_SY_B!$BZ49-1,"")</f>
        <v/>
      </c>
      <c r="AP49" s="177" t="str">
        <f>IFERROR(Inv_SY_B!AP49/Inv_SY_B!$BZ49-1,"")</f>
        <v/>
      </c>
      <c r="AQ49" s="177" t="str">
        <f>IFERROR(Inv_SY_B!AQ49/Inv_SY_B!$BZ49-1,"")</f>
        <v/>
      </c>
      <c r="AR49" s="177" t="str">
        <f>IFERROR(Inv_SY_B!AR49/Inv_SY_B!$BZ49-1,"")</f>
        <v/>
      </c>
      <c r="AS49" s="177" t="str">
        <f>IFERROR(Inv_SY_B!AS49/Inv_SY_B!$BZ49-1,"")</f>
        <v/>
      </c>
      <c r="AT49" s="177" t="str">
        <f>IFERROR(Inv_SY_B!AT49/Inv_SY_B!$BZ49-1,"")</f>
        <v/>
      </c>
      <c r="AU49" s="177" t="str">
        <f>IFERROR(Inv_SY_B!AU49/Inv_SY_B!$BZ49-1,"")</f>
        <v/>
      </c>
      <c r="AV49" s="177" t="str">
        <f>IFERROR(Inv_SY_B!AV49/Inv_SY_B!$BZ49-1,"")</f>
        <v/>
      </c>
      <c r="AW49" s="177" t="str">
        <f>IFERROR(Inv_SY_B!AW49/Inv_SY_B!$CA49-1,"")</f>
        <v/>
      </c>
      <c r="AX49" s="177" t="str">
        <f>IFERROR(Inv_SY_B!AX49/Inv_SY_B!$CA49-1,"")</f>
        <v/>
      </c>
      <c r="AY49" s="177" t="str">
        <f>IFERROR(Inv_SY_B!AY49/Inv_SY_B!$CA49-1,"")</f>
        <v/>
      </c>
      <c r="AZ49" s="177" t="str">
        <f>IFERROR(Inv_SY_B!AZ49/Inv_SY_B!$CA49-1,"")</f>
        <v/>
      </c>
      <c r="BA49" s="177" t="str">
        <f>IFERROR(Inv_SY_B!BA49/Inv_SY_B!$CA49-1,"")</f>
        <v/>
      </c>
      <c r="BB49" s="177" t="str">
        <f>IFERROR(Inv_SY_B!BB49/Inv_SY_B!$CA49-1,"")</f>
        <v/>
      </c>
      <c r="BC49" s="177" t="str">
        <f>IFERROR(Inv_SY_B!BC49/Inv_SY_B!$CA49-1,"")</f>
        <v/>
      </c>
      <c r="BD49" s="177" t="str">
        <f>IFERROR(Inv_SY_B!BD49/Inv_SY_B!$CA49-1,"")</f>
        <v/>
      </c>
      <c r="BE49" s="177" t="str">
        <f>IFERROR(Inv_SY_B!BE49/Inv_SY_B!$CA49-1,"")</f>
        <v/>
      </c>
      <c r="BF49" s="177" t="str">
        <f>IFERROR(Inv_SY_B!BF49/Inv_SY_B!$CA49-1,"")</f>
        <v/>
      </c>
      <c r="BG49" s="177" t="str">
        <f>IFERROR(Inv_SY_B!BG49/Inv_SY_B!$CA49-1,"")</f>
        <v/>
      </c>
      <c r="BH49" s="177" t="str">
        <f>IFERROR(Inv_SY_B!BH49/Inv_SY_B!$CA49-1,"")</f>
        <v/>
      </c>
      <c r="BI49" s="177" t="str">
        <f>IFERROR(Inv_SY_B!BI49/Inv_SY_B!$CA49-1,"")</f>
        <v/>
      </c>
      <c r="BJ49" s="177" t="str">
        <f>IFERROR(Inv_SY_B!BJ49/Inv_SY_B!$CA49-1,"")</f>
        <v/>
      </c>
      <c r="BK49" s="177" t="str">
        <f>IFERROR(Inv_SY_B!BK49/Inv_SY_B!$CA49-1,"")</f>
        <v/>
      </c>
      <c r="BL49" s="177" t="str">
        <f>IFERROR(Inv_SY_B!BL49/Inv_SY_B!$CA49-1,"")</f>
        <v/>
      </c>
      <c r="BM49" s="177" t="str">
        <f>IFERROR(Inv_SY_B!BM49/Inv_SY_B!$CA49-1,"")</f>
        <v/>
      </c>
      <c r="BN49" s="177" t="str">
        <f>IFERROR(Inv_SY_B!BN49/Inv_SY_B!$CA49-1,"")</f>
        <v/>
      </c>
      <c r="BO49" s="177" t="str">
        <f>IFERROR(Inv_SY_B!BO49/Inv_SY_B!$CA49-1,"")</f>
        <v/>
      </c>
      <c r="BP49" s="177" t="str">
        <f>IFERROR(Inv_SY_B!BP49/Inv_SY_B!$CA49-1,"")</f>
        <v/>
      </c>
      <c r="BQ49" s="177" t="str">
        <f>IFERROR(Inv_SY_B!BQ49/Inv_SY_B!$CA49-1,"")</f>
        <v/>
      </c>
      <c r="BR49" s="177" t="str">
        <f>IFERROR(Inv_SY_B!BR49/Inv_SY_B!$CA49-1,"")</f>
        <v/>
      </c>
      <c r="BS49" s="177" t="str">
        <f>IFERROR(Inv_SY_B!BS49/Inv_SY_B!$CA49-1,"")</f>
        <v/>
      </c>
      <c r="BT49" s="177" t="str">
        <f>IFERROR(Inv_SY_B!BT49/Inv_SY_B!$CA49-1,"")</f>
        <v/>
      </c>
      <c r="BU49" s="177" t="str">
        <f>IFERROR(Inv_SY_B!BU49/Inv_SY_B!$CA49-1,"")</f>
        <v/>
      </c>
      <c r="BV49" s="177" t="str">
        <f>IFERROR(Inv_SY_B!BV49/Inv_SY_B!$CA49-1,"")</f>
        <v/>
      </c>
      <c r="BW49" s="177" t="str">
        <f>IFERROR(Inv_SY_B!BW49/Inv_SY_B!$CA49-1,"")</f>
        <v/>
      </c>
      <c r="BX49" s="177" t="str">
        <f>IFERROR(Inv_SY_B!BX49/Inv_SY_B!$CA49-1,"")</f>
        <v/>
      </c>
    </row>
    <row r="50" spans="2:76">
      <c r="B50" s="173">
        <f t="shared" si="2"/>
        <v>45883</v>
      </c>
      <c r="C50" s="177" t="str">
        <f>IFERROR(Inv_SY_B!C50/Inv_SY_B!$BY50-1,"")</f>
        <v/>
      </c>
      <c r="D50" s="177" t="str">
        <f>IFERROR(Inv_SY_B!D50/Inv_SY_B!$BY50-1,"")</f>
        <v/>
      </c>
      <c r="E50" s="177" t="str">
        <f>IFERROR(Inv_SY_B!E50/Inv_SY_B!$BY50-1,"")</f>
        <v/>
      </c>
      <c r="F50" s="177" t="str">
        <f>IFERROR(Inv_SY_B!F50/Inv_SY_B!$BY50-1,"")</f>
        <v/>
      </c>
      <c r="G50" s="177" t="str">
        <f>IFERROR(Inv_SY_B!G50/Inv_SY_B!$BY50-1,"")</f>
        <v/>
      </c>
      <c r="H50" s="177" t="str">
        <f>IFERROR(Inv_SY_B!H50/Inv_SY_B!$BY50-1,"")</f>
        <v/>
      </c>
      <c r="I50" s="177" t="str">
        <f>IFERROR(Inv_SY_B!I50/Inv_SY_B!$BY50-1,"")</f>
        <v/>
      </c>
      <c r="J50" s="177" t="str">
        <f>IFERROR(Inv_SY_B!J50/Inv_SY_B!$BY50-1,"")</f>
        <v/>
      </c>
      <c r="K50" s="177" t="str">
        <f>IFERROR(Inv_SY_B!K50/Inv_SY_B!$BY50-1,"")</f>
        <v/>
      </c>
      <c r="L50" s="177" t="str">
        <f>IFERROR(Inv_SY_B!L50/Inv_SY_B!$BY50-1,"")</f>
        <v/>
      </c>
      <c r="M50" s="177" t="str">
        <f>IFERROR(Inv_SY_B!M50/Inv_SY_B!$BY50-1,"")</f>
        <v/>
      </c>
      <c r="N50" s="177" t="str">
        <f>IFERROR(Inv_SY_B!N50/Inv_SY_B!$BY50-1,"")</f>
        <v/>
      </c>
      <c r="O50" s="177" t="str">
        <f>IFERROR(Inv_SY_B!O50/Inv_SY_B!$BY50-1,"")</f>
        <v/>
      </c>
      <c r="P50" s="177" t="str">
        <f>IFERROR(Inv_SY_B!P50/Inv_SY_B!$BY50-1,"")</f>
        <v/>
      </c>
      <c r="Q50" s="177" t="str">
        <f>IFERROR(Inv_SY_B!Q50/Inv_SY_B!$BY50-1,"")</f>
        <v/>
      </c>
      <c r="R50" s="177" t="str">
        <f>IFERROR(Inv_SY_B!R50/Inv_SY_B!$BY50-1,"")</f>
        <v/>
      </c>
      <c r="S50" s="177" t="str">
        <f>IFERROR(Inv_SY_B!S50/Inv_SY_B!$BY50-1,"")</f>
        <v/>
      </c>
      <c r="T50" s="177" t="str">
        <f>IFERROR(Inv_SY_B!T50/Inv_SY_B!$BY50-1,"")</f>
        <v/>
      </c>
      <c r="U50" s="177" t="str">
        <f>IFERROR(Inv_SY_B!U50/Inv_SY_B!$BY50-1,"")</f>
        <v/>
      </c>
      <c r="V50" s="177" t="str">
        <f>IFERROR(Inv_SY_B!V50/Inv_SY_B!$BY50-1,"")</f>
        <v/>
      </c>
      <c r="W50" s="177" t="str">
        <f>IFERROR(Inv_SY_B!W50/Inv_SY_B!$BY50-1,"")</f>
        <v/>
      </c>
      <c r="X50" s="177" t="str">
        <f>IFERROR(Inv_SY_B!X50/Inv_SY_B!$BY50-1,"")</f>
        <v/>
      </c>
      <c r="Y50" s="177" t="str">
        <f>IFERROR(Inv_SY_B!Y50/Inv_SY_B!$BY50-1,"")</f>
        <v/>
      </c>
      <c r="Z50" s="177" t="str">
        <f>IFERROR(Inv_SY_B!Z50/Inv_SY_B!$BY50-1,"")</f>
        <v/>
      </c>
      <c r="AA50" s="177" t="str">
        <f>IFERROR(Inv_SY_B!AA50/Inv_SY_B!$BY50-1,"")</f>
        <v/>
      </c>
      <c r="AB50" s="177" t="str">
        <f>IFERROR(Inv_SY_B!AB50/Inv_SY_B!$BY50-1,"")</f>
        <v/>
      </c>
      <c r="AC50" s="177" t="str">
        <f>IFERROR(Inv_SY_B!AC50/Inv_SY_B!$BY50-1,"")</f>
        <v/>
      </c>
      <c r="AD50" s="177" t="str">
        <f>IFERROR(Inv_SY_B!AD50/Inv_SY_B!$BY50-1,"")</f>
        <v/>
      </c>
      <c r="AE50" s="177" t="str">
        <f>IFERROR(Inv_SY_B!AE50/Inv_SY_B!$BZ50-1,"")</f>
        <v/>
      </c>
      <c r="AF50" s="177" t="str">
        <f>IFERROR(Inv_SY_B!AF50/Inv_SY_B!$BZ50-1,"")</f>
        <v/>
      </c>
      <c r="AG50" s="177" t="str">
        <f>IFERROR(Inv_SY_B!AG50/Inv_SY_B!$BZ50-1,"")</f>
        <v/>
      </c>
      <c r="AH50" s="177" t="str">
        <f>IFERROR(Inv_SY_B!AH50/Inv_SY_B!$BZ50-1,"")</f>
        <v/>
      </c>
      <c r="AI50" s="177" t="str">
        <f>IFERROR(Inv_SY_B!AI50/Inv_SY_B!$BZ50-1,"")</f>
        <v/>
      </c>
      <c r="AJ50" s="177" t="str">
        <f>IFERROR(Inv_SY_B!AJ50/Inv_SY_B!$BZ50-1,"")</f>
        <v/>
      </c>
      <c r="AK50" s="177" t="str">
        <f>IFERROR(Inv_SY_B!AK50/Inv_SY_B!$BZ50-1,"")</f>
        <v/>
      </c>
      <c r="AL50" s="177" t="str">
        <f>IFERROR(Inv_SY_B!AL50/Inv_SY_B!$BZ50-1,"")</f>
        <v/>
      </c>
      <c r="AM50" s="177" t="str">
        <f>IFERROR(Inv_SY_B!AM50/Inv_SY_B!$BZ50-1,"")</f>
        <v/>
      </c>
      <c r="AN50" s="177" t="str">
        <f>IFERROR(Inv_SY_B!AN50/Inv_SY_B!$BZ50-1,"")</f>
        <v/>
      </c>
      <c r="AO50" s="177" t="str">
        <f>IFERROR(Inv_SY_B!AO50/Inv_SY_B!$BZ50-1,"")</f>
        <v/>
      </c>
      <c r="AP50" s="177" t="str">
        <f>IFERROR(Inv_SY_B!AP50/Inv_SY_B!$BZ50-1,"")</f>
        <v/>
      </c>
      <c r="AQ50" s="177" t="str">
        <f>IFERROR(Inv_SY_B!AQ50/Inv_SY_B!$BZ50-1,"")</f>
        <v/>
      </c>
      <c r="AR50" s="177" t="str">
        <f>IFERROR(Inv_SY_B!AR50/Inv_SY_B!$BZ50-1,"")</f>
        <v/>
      </c>
      <c r="AS50" s="177" t="str">
        <f>IFERROR(Inv_SY_B!AS50/Inv_SY_B!$BZ50-1,"")</f>
        <v/>
      </c>
      <c r="AT50" s="177" t="str">
        <f>IFERROR(Inv_SY_B!AT50/Inv_SY_B!$BZ50-1,"")</f>
        <v/>
      </c>
      <c r="AU50" s="177" t="str">
        <f>IFERROR(Inv_SY_B!AU50/Inv_SY_B!$BZ50-1,"")</f>
        <v/>
      </c>
      <c r="AV50" s="177" t="str">
        <f>IFERROR(Inv_SY_B!AV50/Inv_SY_B!$BZ50-1,"")</f>
        <v/>
      </c>
      <c r="AW50" s="177" t="str">
        <f>IFERROR(Inv_SY_B!AW50/Inv_SY_B!$CA50-1,"")</f>
        <v/>
      </c>
      <c r="AX50" s="177" t="str">
        <f>IFERROR(Inv_SY_B!AX50/Inv_SY_B!$CA50-1,"")</f>
        <v/>
      </c>
      <c r="AY50" s="177" t="str">
        <f>IFERROR(Inv_SY_B!AY50/Inv_SY_B!$CA50-1,"")</f>
        <v/>
      </c>
      <c r="AZ50" s="177" t="str">
        <f>IFERROR(Inv_SY_B!AZ50/Inv_SY_B!$CA50-1,"")</f>
        <v/>
      </c>
      <c r="BA50" s="177" t="str">
        <f>IFERROR(Inv_SY_B!BA50/Inv_SY_B!$CA50-1,"")</f>
        <v/>
      </c>
      <c r="BB50" s="177" t="str">
        <f>IFERROR(Inv_SY_B!BB50/Inv_SY_B!$CA50-1,"")</f>
        <v/>
      </c>
      <c r="BC50" s="177" t="str">
        <f>IFERROR(Inv_SY_B!BC50/Inv_SY_B!$CA50-1,"")</f>
        <v/>
      </c>
      <c r="BD50" s="177" t="str">
        <f>IFERROR(Inv_SY_B!BD50/Inv_SY_B!$CA50-1,"")</f>
        <v/>
      </c>
      <c r="BE50" s="177" t="str">
        <f>IFERROR(Inv_SY_B!BE50/Inv_SY_B!$CA50-1,"")</f>
        <v/>
      </c>
      <c r="BF50" s="177" t="str">
        <f>IFERROR(Inv_SY_B!BF50/Inv_SY_B!$CA50-1,"")</f>
        <v/>
      </c>
      <c r="BG50" s="177" t="str">
        <f>IFERROR(Inv_SY_B!BG50/Inv_SY_B!$CA50-1,"")</f>
        <v/>
      </c>
      <c r="BH50" s="177" t="str">
        <f>IFERROR(Inv_SY_B!BH50/Inv_SY_B!$CA50-1,"")</f>
        <v/>
      </c>
      <c r="BI50" s="177" t="str">
        <f>IFERROR(Inv_SY_B!BI50/Inv_SY_B!$CA50-1,"")</f>
        <v/>
      </c>
      <c r="BJ50" s="177" t="str">
        <f>IFERROR(Inv_SY_B!BJ50/Inv_SY_B!$CA50-1,"")</f>
        <v/>
      </c>
      <c r="BK50" s="177" t="str">
        <f>IFERROR(Inv_SY_B!BK50/Inv_SY_B!$CA50-1,"")</f>
        <v/>
      </c>
      <c r="BL50" s="177" t="str">
        <f>IFERROR(Inv_SY_B!BL50/Inv_SY_B!$CA50-1,"")</f>
        <v/>
      </c>
      <c r="BM50" s="177" t="str">
        <f>IFERROR(Inv_SY_B!BM50/Inv_SY_B!$CA50-1,"")</f>
        <v/>
      </c>
      <c r="BN50" s="177" t="str">
        <f>IFERROR(Inv_SY_B!BN50/Inv_SY_B!$CA50-1,"")</f>
        <v/>
      </c>
      <c r="BO50" s="177" t="str">
        <f>IFERROR(Inv_SY_B!BO50/Inv_SY_B!$CA50-1,"")</f>
        <v/>
      </c>
      <c r="BP50" s="177" t="str">
        <f>IFERROR(Inv_SY_B!BP50/Inv_SY_B!$CA50-1,"")</f>
        <v/>
      </c>
      <c r="BQ50" s="177" t="str">
        <f>IFERROR(Inv_SY_B!BQ50/Inv_SY_B!$CA50-1,"")</f>
        <v/>
      </c>
      <c r="BR50" s="177" t="str">
        <f>IFERROR(Inv_SY_B!BR50/Inv_SY_B!$CA50-1,"")</f>
        <v/>
      </c>
      <c r="BS50" s="177" t="str">
        <f>IFERROR(Inv_SY_B!BS50/Inv_SY_B!$CA50-1,"")</f>
        <v/>
      </c>
      <c r="BT50" s="177" t="str">
        <f>IFERROR(Inv_SY_B!BT50/Inv_SY_B!$CA50-1,"")</f>
        <v/>
      </c>
      <c r="BU50" s="177" t="str">
        <f>IFERROR(Inv_SY_B!BU50/Inv_SY_B!$CA50-1,"")</f>
        <v/>
      </c>
      <c r="BV50" s="177" t="str">
        <f>IFERROR(Inv_SY_B!BV50/Inv_SY_B!$CA50-1,"")</f>
        <v/>
      </c>
      <c r="BW50" s="177" t="str">
        <f>IFERROR(Inv_SY_B!BW50/Inv_SY_B!$CA50-1,"")</f>
        <v/>
      </c>
      <c r="BX50" s="177" t="str">
        <f>IFERROR(Inv_SY_B!BX50/Inv_SY_B!$CA50-1,"")</f>
        <v/>
      </c>
    </row>
    <row r="51" spans="2:76">
      <c r="B51" s="173">
        <f t="shared" si="2"/>
        <v>45884</v>
      </c>
      <c r="C51" s="177" t="str">
        <f>IFERROR(Inv_SY_B!C51/Inv_SY_B!$BY51-1,"")</f>
        <v/>
      </c>
      <c r="D51" s="177" t="str">
        <f>IFERROR(Inv_SY_B!D51/Inv_SY_B!$BY51-1,"")</f>
        <v/>
      </c>
      <c r="E51" s="177" t="str">
        <f>IFERROR(Inv_SY_B!E51/Inv_SY_B!$BY51-1,"")</f>
        <v/>
      </c>
      <c r="F51" s="177" t="str">
        <f>IFERROR(Inv_SY_B!F51/Inv_SY_B!$BY51-1,"")</f>
        <v/>
      </c>
      <c r="G51" s="177" t="str">
        <f>IFERROR(Inv_SY_B!G51/Inv_SY_B!$BY51-1,"")</f>
        <v/>
      </c>
      <c r="H51" s="177" t="str">
        <f>IFERROR(Inv_SY_B!H51/Inv_SY_B!$BY51-1,"")</f>
        <v/>
      </c>
      <c r="I51" s="177" t="str">
        <f>IFERROR(Inv_SY_B!I51/Inv_SY_B!$BY51-1,"")</f>
        <v/>
      </c>
      <c r="J51" s="177" t="str">
        <f>IFERROR(Inv_SY_B!J51/Inv_SY_B!$BY51-1,"")</f>
        <v/>
      </c>
      <c r="K51" s="177" t="str">
        <f>IFERROR(Inv_SY_B!K51/Inv_SY_B!$BY51-1,"")</f>
        <v/>
      </c>
      <c r="L51" s="177" t="str">
        <f>IFERROR(Inv_SY_B!L51/Inv_SY_B!$BY51-1,"")</f>
        <v/>
      </c>
      <c r="M51" s="177" t="str">
        <f>IFERROR(Inv_SY_B!M51/Inv_SY_B!$BY51-1,"")</f>
        <v/>
      </c>
      <c r="N51" s="177" t="str">
        <f>IFERROR(Inv_SY_B!N51/Inv_SY_B!$BY51-1,"")</f>
        <v/>
      </c>
      <c r="O51" s="177" t="str">
        <f>IFERROR(Inv_SY_B!O51/Inv_SY_B!$BY51-1,"")</f>
        <v/>
      </c>
      <c r="P51" s="177" t="str">
        <f>IFERROR(Inv_SY_B!P51/Inv_SY_B!$BY51-1,"")</f>
        <v/>
      </c>
      <c r="Q51" s="177" t="str">
        <f>IFERROR(Inv_SY_B!Q51/Inv_SY_B!$BY51-1,"")</f>
        <v/>
      </c>
      <c r="R51" s="177" t="str">
        <f>IFERROR(Inv_SY_B!R51/Inv_SY_B!$BY51-1,"")</f>
        <v/>
      </c>
      <c r="S51" s="177" t="str">
        <f>IFERROR(Inv_SY_B!S51/Inv_SY_B!$BY51-1,"")</f>
        <v/>
      </c>
      <c r="T51" s="177" t="str">
        <f>IFERROR(Inv_SY_B!T51/Inv_SY_B!$BY51-1,"")</f>
        <v/>
      </c>
      <c r="U51" s="177" t="str">
        <f>IFERROR(Inv_SY_B!U51/Inv_SY_B!$BY51-1,"")</f>
        <v/>
      </c>
      <c r="V51" s="177" t="str">
        <f>IFERROR(Inv_SY_B!V51/Inv_SY_B!$BY51-1,"")</f>
        <v/>
      </c>
      <c r="W51" s="177" t="str">
        <f>IFERROR(Inv_SY_B!W51/Inv_SY_B!$BY51-1,"")</f>
        <v/>
      </c>
      <c r="X51" s="177" t="str">
        <f>IFERROR(Inv_SY_B!X51/Inv_SY_B!$BY51-1,"")</f>
        <v/>
      </c>
      <c r="Y51" s="177" t="str">
        <f>IFERROR(Inv_SY_B!Y51/Inv_SY_B!$BY51-1,"")</f>
        <v/>
      </c>
      <c r="Z51" s="177" t="str">
        <f>IFERROR(Inv_SY_B!Z51/Inv_SY_B!$BY51-1,"")</f>
        <v/>
      </c>
      <c r="AA51" s="177" t="str">
        <f>IFERROR(Inv_SY_B!AA51/Inv_SY_B!$BY51-1,"")</f>
        <v/>
      </c>
      <c r="AB51" s="177" t="str">
        <f>IFERROR(Inv_SY_B!AB51/Inv_SY_B!$BY51-1,"")</f>
        <v/>
      </c>
      <c r="AC51" s="177" t="str">
        <f>IFERROR(Inv_SY_B!AC51/Inv_SY_B!$BY51-1,"")</f>
        <v/>
      </c>
      <c r="AD51" s="177" t="str">
        <f>IFERROR(Inv_SY_B!AD51/Inv_SY_B!$BY51-1,"")</f>
        <v/>
      </c>
      <c r="AE51" s="177" t="str">
        <f>IFERROR(Inv_SY_B!AE51/Inv_SY_B!$BZ51-1,"")</f>
        <v/>
      </c>
      <c r="AF51" s="177" t="str">
        <f>IFERROR(Inv_SY_B!AF51/Inv_SY_B!$BZ51-1,"")</f>
        <v/>
      </c>
      <c r="AG51" s="177" t="str">
        <f>IFERROR(Inv_SY_B!AG51/Inv_SY_B!$BZ51-1,"")</f>
        <v/>
      </c>
      <c r="AH51" s="177" t="str">
        <f>IFERROR(Inv_SY_B!AH51/Inv_SY_B!$BZ51-1,"")</f>
        <v/>
      </c>
      <c r="AI51" s="177" t="str">
        <f>IFERROR(Inv_SY_B!AI51/Inv_SY_B!$BZ51-1,"")</f>
        <v/>
      </c>
      <c r="AJ51" s="177" t="str">
        <f>IFERROR(Inv_SY_B!AJ51/Inv_SY_B!$BZ51-1,"")</f>
        <v/>
      </c>
      <c r="AK51" s="177" t="str">
        <f>IFERROR(Inv_SY_B!AK51/Inv_SY_B!$BZ51-1,"")</f>
        <v/>
      </c>
      <c r="AL51" s="177" t="str">
        <f>IFERROR(Inv_SY_B!AL51/Inv_SY_B!$BZ51-1,"")</f>
        <v/>
      </c>
      <c r="AM51" s="177" t="str">
        <f>IFERROR(Inv_SY_B!AM51/Inv_SY_B!$BZ51-1,"")</f>
        <v/>
      </c>
      <c r="AN51" s="177" t="str">
        <f>IFERROR(Inv_SY_B!AN51/Inv_SY_B!$BZ51-1,"")</f>
        <v/>
      </c>
      <c r="AO51" s="177" t="str">
        <f>IFERROR(Inv_SY_B!AO51/Inv_SY_B!$BZ51-1,"")</f>
        <v/>
      </c>
      <c r="AP51" s="177" t="str">
        <f>IFERROR(Inv_SY_B!AP51/Inv_SY_B!$BZ51-1,"")</f>
        <v/>
      </c>
      <c r="AQ51" s="177" t="str">
        <f>IFERROR(Inv_SY_B!AQ51/Inv_SY_B!$BZ51-1,"")</f>
        <v/>
      </c>
      <c r="AR51" s="177" t="str">
        <f>IFERROR(Inv_SY_B!AR51/Inv_SY_B!$BZ51-1,"")</f>
        <v/>
      </c>
      <c r="AS51" s="177" t="str">
        <f>IFERROR(Inv_SY_B!AS51/Inv_SY_B!$BZ51-1,"")</f>
        <v/>
      </c>
      <c r="AT51" s="177" t="str">
        <f>IFERROR(Inv_SY_B!AT51/Inv_SY_B!$BZ51-1,"")</f>
        <v/>
      </c>
      <c r="AU51" s="177" t="str">
        <f>IFERROR(Inv_SY_B!AU51/Inv_SY_B!$BZ51-1,"")</f>
        <v/>
      </c>
      <c r="AV51" s="177" t="str">
        <f>IFERROR(Inv_SY_B!AV51/Inv_SY_B!$BZ51-1,"")</f>
        <v/>
      </c>
      <c r="AW51" s="177" t="str">
        <f>IFERROR(Inv_SY_B!AW51/Inv_SY_B!$CA51-1,"")</f>
        <v/>
      </c>
      <c r="AX51" s="177" t="str">
        <f>IFERROR(Inv_SY_B!AX51/Inv_SY_B!$CA51-1,"")</f>
        <v/>
      </c>
      <c r="AY51" s="177" t="str">
        <f>IFERROR(Inv_SY_B!AY51/Inv_SY_B!$CA51-1,"")</f>
        <v/>
      </c>
      <c r="AZ51" s="177" t="str">
        <f>IFERROR(Inv_SY_B!AZ51/Inv_SY_B!$CA51-1,"")</f>
        <v/>
      </c>
      <c r="BA51" s="177" t="str">
        <f>IFERROR(Inv_SY_B!BA51/Inv_SY_B!$CA51-1,"")</f>
        <v/>
      </c>
      <c r="BB51" s="177" t="str">
        <f>IFERROR(Inv_SY_B!BB51/Inv_SY_B!$CA51-1,"")</f>
        <v/>
      </c>
      <c r="BC51" s="177" t="str">
        <f>IFERROR(Inv_SY_B!BC51/Inv_SY_B!$CA51-1,"")</f>
        <v/>
      </c>
      <c r="BD51" s="177" t="str">
        <f>IFERROR(Inv_SY_B!BD51/Inv_SY_B!$CA51-1,"")</f>
        <v/>
      </c>
      <c r="BE51" s="177" t="str">
        <f>IFERROR(Inv_SY_B!BE51/Inv_SY_B!$CA51-1,"")</f>
        <v/>
      </c>
      <c r="BF51" s="177" t="str">
        <f>IFERROR(Inv_SY_B!BF51/Inv_SY_B!$CA51-1,"")</f>
        <v/>
      </c>
      <c r="BG51" s="177" t="str">
        <f>IFERROR(Inv_SY_B!BG51/Inv_SY_B!$CA51-1,"")</f>
        <v/>
      </c>
      <c r="BH51" s="177" t="str">
        <f>IFERROR(Inv_SY_B!BH51/Inv_SY_B!$CA51-1,"")</f>
        <v/>
      </c>
      <c r="BI51" s="177" t="str">
        <f>IFERROR(Inv_SY_B!BI51/Inv_SY_B!$CA51-1,"")</f>
        <v/>
      </c>
      <c r="BJ51" s="177" t="str">
        <f>IFERROR(Inv_SY_B!BJ51/Inv_SY_B!$CA51-1,"")</f>
        <v/>
      </c>
      <c r="BK51" s="177" t="str">
        <f>IFERROR(Inv_SY_B!BK51/Inv_SY_B!$CA51-1,"")</f>
        <v/>
      </c>
      <c r="BL51" s="177" t="str">
        <f>IFERROR(Inv_SY_B!BL51/Inv_SY_B!$CA51-1,"")</f>
        <v/>
      </c>
      <c r="BM51" s="177" t="str">
        <f>IFERROR(Inv_SY_B!BM51/Inv_SY_B!$CA51-1,"")</f>
        <v/>
      </c>
      <c r="BN51" s="177" t="str">
        <f>IFERROR(Inv_SY_B!BN51/Inv_SY_B!$CA51-1,"")</f>
        <v/>
      </c>
      <c r="BO51" s="177" t="str">
        <f>IFERROR(Inv_SY_B!BO51/Inv_SY_B!$CA51-1,"")</f>
        <v/>
      </c>
      <c r="BP51" s="177" t="str">
        <f>IFERROR(Inv_SY_B!BP51/Inv_SY_B!$CA51-1,"")</f>
        <v/>
      </c>
      <c r="BQ51" s="177" t="str">
        <f>IFERROR(Inv_SY_B!BQ51/Inv_SY_B!$CA51-1,"")</f>
        <v/>
      </c>
      <c r="BR51" s="177" t="str">
        <f>IFERROR(Inv_SY_B!BR51/Inv_SY_B!$CA51-1,"")</f>
        <v/>
      </c>
      <c r="BS51" s="177" t="str">
        <f>IFERROR(Inv_SY_B!BS51/Inv_SY_B!$CA51-1,"")</f>
        <v/>
      </c>
      <c r="BT51" s="177" t="str">
        <f>IFERROR(Inv_SY_B!BT51/Inv_SY_B!$CA51-1,"")</f>
        <v/>
      </c>
      <c r="BU51" s="177" t="str">
        <f>IFERROR(Inv_SY_B!BU51/Inv_SY_B!$CA51-1,"")</f>
        <v/>
      </c>
      <c r="BV51" s="177" t="str">
        <f>IFERROR(Inv_SY_B!BV51/Inv_SY_B!$CA51-1,"")</f>
        <v/>
      </c>
      <c r="BW51" s="177" t="str">
        <f>IFERROR(Inv_SY_B!BW51/Inv_SY_B!$CA51-1,"")</f>
        <v/>
      </c>
      <c r="BX51" s="177" t="str">
        <f>IFERROR(Inv_SY_B!BX51/Inv_SY_B!$CA51-1,"")</f>
        <v/>
      </c>
    </row>
    <row r="52" spans="2:76">
      <c r="B52" s="173">
        <f t="shared" si="2"/>
        <v>45885</v>
      </c>
      <c r="C52" s="177" t="str">
        <f>IFERROR(Inv_SY_B!C52/Inv_SY_B!$BY52-1,"")</f>
        <v/>
      </c>
      <c r="D52" s="177" t="str">
        <f>IFERROR(Inv_SY_B!D52/Inv_SY_B!$BY52-1,"")</f>
        <v/>
      </c>
      <c r="E52" s="177" t="str">
        <f>IFERROR(Inv_SY_B!E52/Inv_SY_B!$BY52-1,"")</f>
        <v/>
      </c>
      <c r="F52" s="177" t="str">
        <f>IFERROR(Inv_SY_B!F52/Inv_SY_B!$BY52-1,"")</f>
        <v/>
      </c>
      <c r="G52" s="177" t="str">
        <f>IFERROR(Inv_SY_B!G52/Inv_SY_B!$BY52-1,"")</f>
        <v/>
      </c>
      <c r="H52" s="177" t="str">
        <f>IFERROR(Inv_SY_B!H52/Inv_SY_B!$BY52-1,"")</f>
        <v/>
      </c>
      <c r="I52" s="177" t="str">
        <f>IFERROR(Inv_SY_B!I52/Inv_SY_B!$BY52-1,"")</f>
        <v/>
      </c>
      <c r="J52" s="177" t="str">
        <f>IFERROR(Inv_SY_B!J52/Inv_SY_B!$BY52-1,"")</f>
        <v/>
      </c>
      <c r="K52" s="177" t="str">
        <f>IFERROR(Inv_SY_B!K52/Inv_SY_B!$BY52-1,"")</f>
        <v/>
      </c>
      <c r="L52" s="177" t="str">
        <f>IFERROR(Inv_SY_B!L52/Inv_SY_B!$BY52-1,"")</f>
        <v/>
      </c>
      <c r="M52" s="177" t="str">
        <f>IFERROR(Inv_SY_B!M52/Inv_SY_B!$BY52-1,"")</f>
        <v/>
      </c>
      <c r="N52" s="177" t="str">
        <f>IFERROR(Inv_SY_B!N52/Inv_SY_B!$BY52-1,"")</f>
        <v/>
      </c>
      <c r="O52" s="177" t="str">
        <f>IFERROR(Inv_SY_B!O52/Inv_SY_B!$BY52-1,"")</f>
        <v/>
      </c>
      <c r="P52" s="177" t="str">
        <f>IFERROR(Inv_SY_B!P52/Inv_SY_B!$BY52-1,"")</f>
        <v/>
      </c>
      <c r="Q52" s="177" t="str">
        <f>IFERROR(Inv_SY_B!Q52/Inv_SY_B!$BY52-1,"")</f>
        <v/>
      </c>
      <c r="R52" s="177" t="str">
        <f>IFERROR(Inv_SY_B!R52/Inv_SY_B!$BY52-1,"")</f>
        <v/>
      </c>
      <c r="S52" s="177" t="str">
        <f>IFERROR(Inv_SY_B!S52/Inv_SY_B!$BY52-1,"")</f>
        <v/>
      </c>
      <c r="T52" s="177" t="str">
        <f>IFERROR(Inv_SY_B!T52/Inv_SY_B!$BY52-1,"")</f>
        <v/>
      </c>
      <c r="U52" s="177" t="str">
        <f>IFERROR(Inv_SY_B!U52/Inv_SY_B!$BY52-1,"")</f>
        <v/>
      </c>
      <c r="V52" s="177" t="str">
        <f>IFERROR(Inv_SY_B!V52/Inv_SY_B!$BY52-1,"")</f>
        <v/>
      </c>
      <c r="W52" s="177" t="str">
        <f>IFERROR(Inv_SY_B!W52/Inv_SY_B!$BY52-1,"")</f>
        <v/>
      </c>
      <c r="X52" s="177" t="str">
        <f>IFERROR(Inv_SY_B!X52/Inv_SY_B!$BY52-1,"")</f>
        <v/>
      </c>
      <c r="Y52" s="177" t="str">
        <f>IFERROR(Inv_SY_B!Y52/Inv_SY_B!$BY52-1,"")</f>
        <v/>
      </c>
      <c r="Z52" s="177" t="str">
        <f>IFERROR(Inv_SY_B!Z52/Inv_SY_B!$BY52-1,"")</f>
        <v/>
      </c>
      <c r="AA52" s="177" t="str">
        <f>IFERROR(Inv_SY_B!AA52/Inv_SY_B!$BY52-1,"")</f>
        <v/>
      </c>
      <c r="AB52" s="177" t="str">
        <f>IFERROR(Inv_SY_B!AB52/Inv_SY_B!$BY52-1,"")</f>
        <v/>
      </c>
      <c r="AC52" s="177" t="str">
        <f>IFERROR(Inv_SY_B!AC52/Inv_SY_B!$BY52-1,"")</f>
        <v/>
      </c>
      <c r="AD52" s="177" t="str">
        <f>IFERROR(Inv_SY_B!AD52/Inv_SY_B!$BY52-1,"")</f>
        <v/>
      </c>
      <c r="AE52" s="177" t="str">
        <f>IFERROR(Inv_SY_B!AE52/Inv_SY_B!$BZ52-1,"")</f>
        <v/>
      </c>
      <c r="AF52" s="177" t="str">
        <f>IFERROR(Inv_SY_B!AF52/Inv_SY_B!$BZ52-1,"")</f>
        <v/>
      </c>
      <c r="AG52" s="177" t="str">
        <f>IFERROR(Inv_SY_B!AG52/Inv_SY_B!$BZ52-1,"")</f>
        <v/>
      </c>
      <c r="AH52" s="177" t="str">
        <f>IFERROR(Inv_SY_B!AH52/Inv_SY_B!$BZ52-1,"")</f>
        <v/>
      </c>
      <c r="AI52" s="177" t="str">
        <f>IFERROR(Inv_SY_B!AI52/Inv_SY_B!$BZ52-1,"")</f>
        <v/>
      </c>
      <c r="AJ52" s="177" t="str">
        <f>IFERROR(Inv_SY_B!AJ52/Inv_SY_B!$BZ52-1,"")</f>
        <v/>
      </c>
      <c r="AK52" s="177" t="str">
        <f>IFERROR(Inv_SY_B!AK52/Inv_SY_B!$BZ52-1,"")</f>
        <v/>
      </c>
      <c r="AL52" s="177" t="str">
        <f>IFERROR(Inv_SY_B!AL52/Inv_SY_B!$BZ52-1,"")</f>
        <v/>
      </c>
      <c r="AM52" s="177" t="str">
        <f>IFERROR(Inv_SY_B!AM52/Inv_SY_B!$BZ52-1,"")</f>
        <v/>
      </c>
      <c r="AN52" s="177" t="str">
        <f>IFERROR(Inv_SY_B!AN52/Inv_SY_B!$BZ52-1,"")</f>
        <v/>
      </c>
      <c r="AO52" s="177" t="str">
        <f>IFERROR(Inv_SY_B!AO52/Inv_SY_B!$BZ52-1,"")</f>
        <v/>
      </c>
      <c r="AP52" s="177" t="str">
        <f>IFERROR(Inv_SY_B!AP52/Inv_SY_B!$BZ52-1,"")</f>
        <v/>
      </c>
      <c r="AQ52" s="177" t="str">
        <f>IFERROR(Inv_SY_B!AQ52/Inv_SY_B!$BZ52-1,"")</f>
        <v/>
      </c>
      <c r="AR52" s="177" t="str">
        <f>IFERROR(Inv_SY_B!AR52/Inv_SY_B!$BZ52-1,"")</f>
        <v/>
      </c>
      <c r="AS52" s="177" t="str">
        <f>IFERROR(Inv_SY_B!AS52/Inv_SY_B!$BZ52-1,"")</f>
        <v/>
      </c>
      <c r="AT52" s="177" t="str">
        <f>IFERROR(Inv_SY_B!AT52/Inv_SY_B!$BZ52-1,"")</f>
        <v/>
      </c>
      <c r="AU52" s="177" t="str">
        <f>IFERROR(Inv_SY_B!AU52/Inv_SY_B!$BZ52-1,"")</f>
        <v/>
      </c>
      <c r="AV52" s="177" t="str">
        <f>IFERROR(Inv_SY_B!AV52/Inv_SY_B!$BZ52-1,"")</f>
        <v/>
      </c>
      <c r="AW52" s="177" t="str">
        <f>IFERROR(Inv_SY_B!AW52/Inv_SY_B!$CA52-1,"")</f>
        <v/>
      </c>
      <c r="AX52" s="177" t="str">
        <f>IFERROR(Inv_SY_B!AX52/Inv_SY_B!$CA52-1,"")</f>
        <v/>
      </c>
      <c r="AY52" s="177" t="str">
        <f>IFERROR(Inv_SY_B!AY52/Inv_SY_B!$CA52-1,"")</f>
        <v/>
      </c>
      <c r="AZ52" s="177" t="str">
        <f>IFERROR(Inv_SY_B!AZ52/Inv_SY_B!$CA52-1,"")</f>
        <v/>
      </c>
      <c r="BA52" s="177" t="str">
        <f>IFERROR(Inv_SY_B!BA52/Inv_SY_B!$CA52-1,"")</f>
        <v/>
      </c>
      <c r="BB52" s="177" t="str">
        <f>IFERROR(Inv_SY_B!BB52/Inv_SY_B!$CA52-1,"")</f>
        <v/>
      </c>
      <c r="BC52" s="177" t="str">
        <f>IFERROR(Inv_SY_B!BC52/Inv_SY_B!$CA52-1,"")</f>
        <v/>
      </c>
      <c r="BD52" s="177" t="str">
        <f>IFERROR(Inv_SY_B!BD52/Inv_SY_B!$CA52-1,"")</f>
        <v/>
      </c>
      <c r="BE52" s="177" t="str">
        <f>IFERROR(Inv_SY_B!BE52/Inv_SY_B!$CA52-1,"")</f>
        <v/>
      </c>
      <c r="BF52" s="177" t="str">
        <f>IFERROR(Inv_SY_B!BF52/Inv_SY_B!$CA52-1,"")</f>
        <v/>
      </c>
      <c r="BG52" s="177" t="str">
        <f>IFERROR(Inv_SY_B!BG52/Inv_SY_B!$CA52-1,"")</f>
        <v/>
      </c>
      <c r="BH52" s="177" t="str">
        <f>IFERROR(Inv_SY_B!BH52/Inv_SY_B!$CA52-1,"")</f>
        <v/>
      </c>
      <c r="BI52" s="177" t="str">
        <f>IFERROR(Inv_SY_B!BI52/Inv_SY_B!$CA52-1,"")</f>
        <v/>
      </c>
      <c r="BJ52" s="177" t="str">
        <f>IFERROR(Inv_SY_B!BJ52/Inv_SY_B!$CA52-1,"")</f>
        <v/>
      </c>
      <c r="BK52" s="177" t="str">
        <f>IFERROR(Inv_SY_B!BK52/Inv_SY_B!$CA52-1,"")</f>
        <v/>
      </c>
      <c r="BL52" s="177" t="str">
        <f>IFERROR(Inv_SY_B!BL52/Inv_SY_B!$CA52-1,"")</f>
        <v/>
      </c>
      <c r="BM52" s="177" t="str">
        <f>IFERROR(Inv_SY_B!BM52/Inv_SY_B!$CA52-1,"")</f>
        <v/>
      </c>
      <c r="BN52" s="177" t="str">
        <f>IFERROR(Inv_SY_B!BN52/Inv_SY_B!$CA52-1,"")</f>
        <v/>
      </c>
      <c r="BO52" s="177" t="str">
        <f>IFERROR(Inv_SY_B!BO52/Inv_SY_B!$CA52-1,"")</f>
        <v/>
      </c>
      <c r="BP52" s="177" t="str">
        <f>IFERROR(Inv_SY_B!BP52/Inv_SY_B!$CA52-1,"")</f>
        <v/>
      </c>
      <c r="BQ52" s="177" t="str">
        <f>IFERROR(Inv_SY_B!BQ52/Inv_SY_B!$CA52-1,"")</f>
        <v/>
      </c>
      <c r="BR52" s="177" t="str">
        <f>IFERROR(Inv_SY_B!BR52/Inv_SY_B!$CA52-1,"")</f>
        <v/>
      </c>
      <c r="BS52" s="177" t="str">
        <f>IFERROR(Inv_SY_B!BS52/Inv_SY_B!$CA52-1,"")</f>
        <v/>
      </c>
      <c r="BT52" s="177" t="str">
        <f>IFERROR(Inv_SY_B!BT52/Inv_SY_B!$CA52-1,"")</f>
        <v/>
      </c>
      <c r="BU52" s="177" t="str">
        <f>IFERROR(Inv_SY_B!BU52/Inv_SY_B!$CA52-1,"")</f>
        <v/>
      </c>
      <c r="BV52" s="177" t="str">
        <f>IFERROR(Inv_SY_B!BV52/Inv_SY_B!$CA52-1,"")</f>
        <v/>
      </c>
      <c r="BW52" s="177" t="str">
        <f>IFERROR(Inv_SY_B!BW52/Inv_SY_B!$CA52-1,"")</f>
        <v/>
      </c>
      <c r="BX52" s="177" t="str">
        <f>IFERROR(Inv_SY_B!BX52/Inv_SY_B!$CA52-1,"")</f>
        <v/>
      </c>
    </row>
    <row r="53" spans="2:76">
      <c r="B53" s="173">
        <f t="shared" si="2"/>
        <v>45886</v>
      </c>
      <c r="C53" s="177" t="str">
        <f>IFERROR(Inv_SY_B!C53/Inv_SY_B!$BY53-1,"")</f>
        <v/>
      </c>
      <c r="D53" s="177" t="str">
        <f>IFERROR(Inv_SY_B!D53/Inv_SY_B!$BY53-1,"")</f>
        <v/>
      </c>
      <c r="E53" s="177" t="str">
        <f>IFERROR(Inv_SY_B!E53/Inv_SY_B!$BY53-1,"")</f>
        <v/>
      </c>
      <c r="F53" s="177" t="str">
        <f>IFERROR(Inv_SY_B!F53/Inv_SY_B!$BY53-1,"")</f>
        <v/>
      </c>
      <c r="G53" s="177" t="str">
        <f>IFERROR(Inv_SY_B!G53/Inv_SY_B!$BY53-1,"")</f>
        <v/>
      </c>
      <c r="H53" s="177" t="str">
        <f>IFERROR(Inv_SY_B!H53/Inv_SY_B!$BY53-1,"")</f>
        <v/>
      </c>
      <c r="I53" s="177" t="str">
        <f>IFERROR(Inv_SY_B!I53/Inv_SY_B!$BY53-1,"")</f>
        <v/>
      </c>
      <c r="J53" s="177" t="str">
        <f>IFERROR(Inv_SY_B!J53/Inv_SY_B!$BY53-1,"")</f>
        <v/>
      </c>
      <c r="K53" s="177" t="str">
        <f>IFERROR(Inv_SY_B!K53/Inv_SY_B!$BY53-1,"")</f>
        <v/>
      </c>
      <c r="L53" s="177" t="str">
        <f>IFERROR(Inv_SY_B!L53/Inv_SY_B!$BY53-1,"")</f>
        <v/>
      </c>
      <c r="M53" s="177" t="str">
        <f>IFERROR(Inv_SY_B!M53/Inv_SY_B!$BY53-1,"")</f>
        <v/>
      </c>
      <c r="N53" s="177" t="str">
        <f>IFERROR(Inv_SY_B!N53/Inv_SY_B!$BY53-1,"")</f>
        <v/>
      </c>
      <c r="O53" s="177" t="str">
        <f>IFERROR(Inv_SY_B!O53/Inv_SY_B!$BY53-1,"")</f>
        <v/>
      </c>
      <c r="P53" s="177" t="str">
        <f>IFERROR(Inv_SY_B!P53/Inv_SY_B!$BY53-1,"")</f>
        <v/>
      </c>
      <c r="Q53" s="177" t="str">
        <f>IFERROR(Inv_SY_B!Q53/Inv_SY_B!$BY53-1,"")</f>
        <v/>
      </c>
      <c r="R53" s="177" t="str">
        <f>IFERROR(Inv_SY_B!R53/Inv_SY_B!$BY53-1,"")</f>
        <v/>
      </c>
      <c r="S53" s="177" t="str">
        <f>IFERROR(Inv_SY_B!S53/Inv_SY_B!$BY53-1,"")</f>
        <v/>
      </c>
      <c r="T53" s="177" t="str">
        <f>IFERROR(Inv_SY_B!T53/Inv_SY_B!$BY53-1,"")</f>
        <v/>
      </c>
      <c r="U53" s="177" t="str">
        <f>IFERROR(Inv_SY_B!U53/Inv_SY_B!$BY53-1,"")</f>
        <v/>
      </c>
      <c r="V53" s="177" t="str">
        <f>IFERROR(Inv_SY_B!V53/Inv_SY_B!$BY53-1,"")</f>
        <v/>
      </c>
      <c r="W53" s="177" t="str">
        <f>IFERROR(Inv_SY_B!W53/Inv_SY_B!$BY53-1,"")</f>
        <v/>
      </c>
      <c r="X53" s="177" t="str">
        <f>IFERROR(Inv_SY_B!X53/Inv_SY_B!$BY53-1,"")</f>
        <v/>
      </c>
      <c r="Y53" s="177" t="str">
        <f>IFERROR(Inv_SY_B!Y53/Inv_SY_B!$BY53-1,"")</f>
        <v/>
      </c>
      <c r="Z53" s="177" t="str">
        <f>IFERROR(Inv_SY_B!Z53/Inv_SY_B!$BY53-1,"")</f>
        <v/>
      </c>
      <c r="AA53" s="177" t="str">
        <f>IFERROR(Inv_SY_B!AA53/Inv_SY_B!$BY53-1,"")</f>
        <v/>
      </c>
      <c r="AB53" s="177" t="str">
        <f>IFERROR(Inv_SY_B!AB53/Inv_SY_B!$BY53-1,"")</f>
        <v/>
      </c>
      <c r="AC53" s="177" t="str">
        <f>IFERROR(Inv_SY_B!AC53/Inv_SY_B!$BY53-1,"")</f>
        <v/>
      </c>
      <c r="AD53" s="177" t="str">
        <f>IFERROR(Inv_SY_B!AD53/Inv_SY_B!$BY53-1,"")</f>
        <v/>
      </c>
      <c r="AE53" s="177" t="str">
        <f>IFERROR(Inv_SY_B!AE53/Inv_SY_B!$BZ53-1,"")</f>
        <v/>
      </c>
      <c r="AF53" s="177" t="str">
        <f>IFERROR(Inv_SY_B!AF53/Inv_SY_B!$BZ53-1,"")</f>
        <v/>
      </c>
      <c r="AG53" s="177" t="str">
        <f>IFERROR(Inv_SY_B!AG53/Inv_SY_B!$BZ53-1,"")</f>
        <v/>
      </c>
      <c r="AH53" s="177" t="str">
        <f>IFERROR(Inv_SY_B!AH53/Inv_SY_B!$BZ53-1,"")</f>
        <v/>
      </c>
      <c r="AI53" s="177" t="str">
        <f>IFERROR(Inv_SY_B!AI53/Inv_SY_B!$BZ53-1,"")</f>
        <v/>
      </c>
      <c r="AJ53" s="177" t="str">
        <f>IFERROR(Inv_SY_B!AJ53/Inv_SY_B!$BZ53-1,"")</f>
        <v/>
      </c>
      <c r="AK53" s="177" t="str">
        <f>IFERROR(Inv_SY_B!AK53/Inv_SY_B!$BZ53-1,"")</f>
        <v/>
      </c>
      <c r="AL53" s="177" t="str">
        <f>IFERROR(Inv_SY_B!AL53/Inv_SY_B!$BZ53-1,"")</f>
        <v/>
      </c>
      <c r="AM53" s="177" t="str">
        <f>IFERROR(Inv_SY_B!AM53/Inv_SY_B!$BZ53-1,"")</f>
        <v/>
      </c>
      <c r="AN53" s="177" t="str">
        <f>IFERROR(Inv_SY_B!AN53/Inv_SY_B!$BZ53-1,"")</f>
        <v/>
      </c>
      <c r="AO53" s="177" t="str">
        <f>IFERROR(Inv_SY_B!AO53/Inv_SY_B!$BZ53-1,"")</f>
        <v/>
      </c>
      <c r="AP53" s="177" t="str">
        <f>IFERROR(Inv_SY_B!AP53/Inv_SY_B!$BZ53-1,"")</f>
        <v/>
      </c>
      <c r="AQ53" s="177" t="str">
        <f>IFERROR(Inv_SY_B!AQ53/Inv_SY_B!$BZ53-1,"")</f>
        <v/>
      </c>
      <c r="AR53" s="177" t="str">
        <f>IFERROR(Inv_SY_B!AR53/Inv_SY_B!$BZ53-1,"")</f>
        <v/>
      </c>
      <c r="AS53" s="177" t="str">
        <f>IFERROR(Inv_SY_B!AS53/Inv_SY_B!$BZ53-1,"")</f>
        <v/>
      </c>
      <c r="AT53" s="177" t="str">
        <f>IFERROR(Inv_SY_B!AT53/Inv_SY_B!$BZ53-1,"")</f>
        <v/>
      </c>
      <c r="AU53" s="177" t="str">
        <f>IFERROR(Inv_SY_B!AU53/Inv_SY_B!$BZ53-1,"")</f>
        <v/>
      </c>
      <c r="AV53" s="177" t="str">
        <f>IFERROR(Inv_SY_B!AV53/Inv_SY_B!$BZ53-1,"")</f>
        <v/>
      </c>
      <c r="AW53" s="177" t="str">
        <f>IFERROR(Inv_SY_B!AW53/Inv_SY_B!$CA53-1,"")</f>
        <v/>
      </c>
      <c r="AX53" s="177" t="str">
        <f>IFERROR(Inv_SY_B!AX53/Inv_SY_B!$CA53-1,"")</f>
        <v/>
      </c>
      <c r="AY53" s="177" t="str">
        <f>IFERROR(Inv_SY_B!AY53/Inv_SY_B!$CA53-1,"")</f>
        <v/>
      </c>
      <c r="AZ53" s="177" t="str">
        <f>IFERROR(Inv_SY_B!AZ53/Inv_SY_B!$CA53-1,"")</f>
        <v/>
      </c>
      <c r="BA53" s="177" t="str">
        <f>IFERROR(Inv_SY_B!BA53/Inv_SY_B!$CA53-1,"")</f>
        <v/>
      </c>
      <c r="BB53" s="177" t="str">
        <f>IFERROR(Inv_SY_B!BB53/Inv_SY_B!$CA53-1,"")</f>
        <v/>
      </c>
      <c r="BC53" s="177" t="str">
        <f>IFERROR(Inv_SY_B!BC53/Inv_SY_B!$CA53-1,"")</f>
        <v/>
      </c>
      <c r="BD53" s="177" t="str">
        <f>IFERROR(Inv_SY_B!BD53/Inv_SY_B!$CA53-1,"")</f>
        <v/>
      </c>
      <c r="BE53" s="177" t="str">
        <f>IFERROR(Inv_SY_B!BE53/Inv_SY_B!$CA53-1,"")</f>
        <v/>
      </c>
      <c r="BF53" s="177" t="str">
        <f>IFERROR(Inv_SY_B!BF53/Inv_SY_B!$CA53-1,"")</f>
        <v/>
      </c>
      <c r="BG53" s="177" t="str">
        <f>IFERROR(Inv_SY_B!BG53/Inv_SY_B!$CA53-1,"")</f>
        <v/>
      </c>
      <c r="BH53" s="177" t="str">
        <f>IFERROR(Inv_SY_B!BH53/Inv_SY_B!$CA53-1,"")</f>
        <v/>
      </c>
      <c r="BI53" s="177" t="str">
        <f>IFERROR(Inv_SY_B!BI53/Inv_SY_B!$CA53-1,"")</f>
        <v/>
      </c>
      <c r="BJ53" s="177" t="str">
        <f>IFERROR(Inv_SY_B!BJ53/Inv_SY_B!$CA53-1,"")</f>
        <v/>
      </c>
      <c r="BK53" s="177" t="str">
        <f>IFERROR(Inv_SY_B!BK53/Inv_SY_B!$CA53-1,"")</f>
        <v/>
      </c>
      <c r="BL53" s="177" t="str">
        <f>IFERROR(Inv_SY_B!BL53/Inv_SY_B!$CA53-1,"")</f>
        <v/>
      </c>
      <c r="BM53" s="177" t="str">
        <f>IFERROR(Inv_SY_B!BM53/Inv_SY_B!$CA53-1,"")</f>
        <v/>
      </c>
      <c r="BN53" s="177" t="str">
        <f>IFERROR(Inv_SY_B!BN53/Inv_SY_B!$CA53-1,"")</f>
        <v/>
      </c>
      <c r="BO53" s="177" t="str">
        <f>IFERROR(Inv_SY_B!BO53/Inv_SY_B!$CA53-1,"")</f>
        <v/>
      </c>
      <c r="BP53" s="177" t="str">
        <f>IFERROR(Inv_SY_B!BP53/Inv_SY_B!$CA53-1,"")</f>
        <v/>
      </c>
      <c r="BQ53" s="177" t="str">
        <f>IFERROR(Inv_SY_B!BQ53/Inv_SY_B!$CA53-1,"")</f>
        <v/>
      </c>
      <c r="BR53" s="177" t="str">
        <f>IFERROR(Inv_SY_B!BR53/Inv_SY_B!$CA53-1,"")</f>
        <v/>
      </c>
      <c r="BS53" s="177" t="str">
        <f>IFERROR(Inv_SY_B!BS53/Inv_SY_B!$CA53-1,"")</f>
        <v/>
      </c>
      <c r="BT53" s="177" t="str">
        <f>IFERROR(Inv_SY_B!BT53/Inv_SY_B!$CA53-1,"")</f>
        <v/>
      </c>
      <c r="BU53" s="177" t="str">
        <f>IFERROR(Inv_SY_B!BU53/Inv_SY_B!$CA53-1,"")</f>
        <v/>
      </c>
      <c r="BV53" s="177" t="str">
        <f>IFERROR(Inv_SY_B!BV53/Inv_SY_B!$CA53-1,"")</f>
        <v/>
      </c>
      <c r="BW53" s="177" t="str">
        <f>IFERROR(Inv_SY_B!BW53/Inv_SY_B!$CA53-1,"")</f>
        <v/>
      </c>
      <c r="BX53" s="177" t="str">
        <f>IFERROR(Inv_SY_B!BX53/Inv_SY_B!$CA53-1,"")</f>
        <v/>
      </c>
    </row>
    <row r="54" spans="2:76">
      <c r="B54" s="173">
        <f t="shared" si="2"/>
        <v>45887</v>
      </c>
      <c r="C54" s="177" t="str">
        <f>IFERROR(Inv_SY_B!C54/Inv_SY_B!$BY54-1,"")</f>
        <v/>
      </c>
      <c r="D54" s="177" t="str">
        <f>IFERROR(Inv_SY_B!D54/Inv_SY_B!$BY54-1,"")</f>
        <v/>
      </c>
      <c r="E54" s="177" t="str">
        <f>IFERROR(Inv_SY_B!E54/Inv_SY_B!$BY54-1,"")</f>
        <v/>
      </c>
      <c r="F54" s="177" t="str">
        <f>IFERROR(Inv_SY_B!F54/Inv_SY_B!$BY54-1,"")</f>
        <v/>
      </c>
      <c r="G54" s="177" t="str">
        <f>IFERROR(Inv_SY_B!G54/Inv_SY_B!$BY54-1,"")</f>
        <v/>
      </c>
      <c r="H54" s="177" t="str">
        <f>IFERROR(Inv_SY_B!H54/Inv_SY_B!$BY54-1,"")</f>
        <v/>
      </c>
      <c r="I54" s="177" t="str">
        <f>IFERROR(Inv_SY_B!I54/Inv_SY_B!$BY54-1,"")</f>
        <v/>
      </c>
      <c r="J54" s="177" t="str">
        <f>IFERROR(Inv_SY_B!J54/Inv_SY_B!$BY54-1,"")</f>
        <v/>
      </c>
      <c r="K54" s="177" t="str">
        <f>IFERROR(Inv_SY_B!K54/Inv_SY_B!$BY54-1,"")</f>
        <v/>
      </c>
      <c r="L54" s="177" t="str">
        <f>IFERROR(Inv_SY_B!L54/Inv_SY_B!$BY54-1,"")</f>
        <v/>
      </c>
      <c r="M54" s="177" t="str">
        <f>IFERROR(Inv_SY_B!M54/Inv_SY_B!$BY54-1,"")</f>
        <v/>
      </c>
      <c r="N54" s="177" t="str">
        <f>IFERROR(Inv_SY_B!N54/Inv_SY_B!$BY54-1,"")</f>
        <v/>
      </c>
      <c r="O54" s="177" t="str">
        <f>IFERROR(Inv_SY_B!O54/Inv_SY_B!$BY54-1,"")</f>
        <v/>
      </c>
      <c r="P54" s="177" t="str">
        <f>IFERROR(Inv_SY_B!P54/Inv_SY_B!$BY54-1,"")</f>
        <v/>
      </c>
      <c r="Q54" s="177" t="str">
        <f>IFERROR(Inv_SY_B!Q54/Inv_SY_B!$BY54-1,"")</f>
        <v/>
      </c>
      <c r="R54" s="177" t="str">
        <f>IFERROR(Inv_SY_B!R54/Inv_SY_B!$BY54-1,"")</f>
        <v/>
      </c>
      <c r="S54" s="177" t="str">
        <f>IFERROR(Inv_SY_B!S54/Inv_SY_B!$BY54-1,"")</f>
        <v/>
      </c>
      <c r="T54" s="177" t="str">
        <f>IFERROR(Inv_SY_B!T54/Inv_SY_B!$BY54-1,"")</f>
        <v/>
      </c>
      <c r="U54" s="177" t="str">
        <f>IFERROR(Inv_SY_B!U54/Inv_SY_B!$BY54-1,"")</f>
        <v/>
      </c>
      <c r="V54" s="177" t="str">
        <f>IFERROR(Inv_SY_B!V54/Inv_SY_B!$BY54-1,"")</f>
        <v/>
      </c>
      <c r="W54" s="177" t="str">
        <f>IFERROR(Inv_SY_B!W54/Inv_SY_B!$BY54-1,"")</f>
        <v/>
      </c>
      <c r="X54" s="177" t="str">
        <f>IFERROR(Inv_SY_B!X54/Inv_SY_B!$BY54-1,"")</f>
        <v/>
      </c>
      <c r="Y54" s="177" t="str">
        <f>IFERROR(Inv_SY_B!Y54/Inv_SY_B!$BY54-1,"")</f>
        <v/>
      </c>
      <c r="Z54" s="177" t="str">
        <f>IFERROR(Inv_SY_B!Z54/Inv_SY_B!$BY54-1,"")</f>
        <v/>
      </c>
      <c r="AA54" s="177" t="str">
        <f>IFERROR(Inv_SY_B!AA54/Inv_SY_B!$BY54-1,"")</f>
        <v/>
      </c>
      <c r="AB54" s="177" t="str">
        <f>IFERROR(Inv_SY_B!AB54/Inv_SY_B!$BY54-1,"")</f>
        <v/>
      </c>
      <c r="AC54" s="177" t="str">
        <f>IFERROR(Inv_SY_B!AC54/Inv_SY_B!$BY54-1,"")</f>
        <v/>
      </c>
      <c r="AD54" s="177" t="str">
        <f>IFERROR(Inv_SY_B!AD54/Inv_SY_B!$BY54-1,"")</f>
        <v/>
      </c>
      <c r="AE54" s="177" t="str">
        <f>IFERROR(Inv_SY_B!AE54/Inv_SY_B!$BZ54-1,"")</f>
        <v/>
      </c>
      <c r="AF54" s="177" t="str">
        <f>IFERROR(Inv_SY_B!AF54/Inv_SY_B!$BZ54-1,"")</f>
        <v/>
      </c>
      <c r="AG54" s="177" t="str">
        <f>IFERROR(Inv_SY_B!AG54/Inv_SY_B!$BZ54-1,"")</f>
        <v/>
      </c>
      <c r="AH54" s="177" t="str">
        <f>IFERROR(Inv_SY_B!AH54/Inv_SY_B!$BZ54-1,"")</f>
        <v/>
      </c>
      <c r="AI54" s="177" t="str">
        <f>IFERROR(Inv_SY_B!AI54/Inv_SY_B!$BZ54-1,"")</f>
        <v/>
      </c>
      <c r="AJ54" s="177" t="str">
        <f>IFERROR(Inv_SY_B!AJ54/Inv_SY_B!$BZ54-1,"")</f>
        <v/>
      </c>
      <c r="AK54" s="177" t="str">
        <f>IFERROR(Inv_SY_B!AK54/Inv_SY_B!$BZ54-1,"")</f>
        <v/>
      </c>
      <c r="AL54" s="177" t="str">
        <f>IFERROR(Inv_SY_B!AL54/Inv_SY_B!$BZ54-1,"")</f>
        <v/>
      </c>
      <c r="AM54" s="177" t="str">
        <f>IFERROR(Inv_SY_B!AM54/Inv_SY_B!$BZ54-1,"")</f>
        <v/>
      </c>
      <c r="AN54" s="177" t="str">
        <f>IFERROR(Inv_SY_B!AN54/Inv_SY_B!$BZ54-1,"")</f>
        <v/>
      </c>
      <c r="AO54" s="177" t="str">
        <f>IFERROR(Inv_SY_B!AO54/Inv_SY_B!$BZ54-1,"")</f>
        <v/>
      </c>
      <c r="AP54" s="177" t="str">
        <f>IFERROR(Inv_SY_B!AP54/Inv_SY_B!$BZ54-1,"")</f>
        <v/>
      </c>
      <c r="AQ54" s="177" t="str">
        <f>IFERROR(Inv_SY_B!AQ54/Inv_SY_B!$BZ54-1,"")</f>
        <v/>
      </c>
      <c r="AR54" s="177" t="str">
        <f>IFERROR(Inv_SY_B!AR54/Inv_SY_B!$BZ54-1,"")</f>
        <v/>
      </c>
      <c r="AS54" s="177" t="str">
        <f>IFERROR(Inv_SY_B!AS54/Inv_SY_B!$BZ54-1,"")</f>
        <v/>
      </c>
      <c r="AT54" s="177" t="str">
        <f>IFERROR(Inv_SY_B!AT54/Inv_SY_B!$BZ54-1,"")</f>
        <v/>
      </c>
      <c r="AU54" s="177" t="str">
        <f>IFERROR(Inv_SY_B!AU54/Inv_SY_B!$BZ54-1,"")</f>
        <v/>
      </c>
      <c r="AV54" s="177" t="str">
        <f>IFERROR(Inv_SY_B!AV54/Inv_SY_B!$BZ54-1,"")</f>
        <v/>
      </c>
      <c r="AW54" s="177" t="str">
        <f>IFERROR(Inv_SY_B!AW54/Inv_SY_B!$CA54-1,"")</f>
        <v/>
      </c>
      <c r="AX54" s="177" t="str">
        <f>IFERROR(Inv_SY_B!AX54/Inv_SY_B!$CA54-1,"")</f>
        <v/>
      </c>
      <c r="AY54" s="177" t="str">
        <f>IFERROR(Inv_SY_B!AY54/Inv_SY_B!$CA54-1,"")</f>
        <v/>
      </c>
      <c r="AZ54" s="177" t="str">
        <f>IFERROR(Inv_SY_B!AZ54/Inv_SY_B!$CA54-1,"")</f>
        <v/>
      </c>
      <c r="BA54" s="177" t="str">
        <f>IFERROR(Inv_SY_B!BA54/Inv_SY_B!$CA54-1,"")</f>
        <v/>
      </c>
      <c r="BB54" s="177" t="str">
        <f>IFERROR(Inv_SY_B!BB54/Inv_SY_B!$CA54-1,"")</f>
        <v/>
      </c>
      <c r="BC54" s="177" t="str">
        <f>IFERROR(Inv_SY_B!BC54/Inv_SY_B!$CA54-1,"")</f>
        <v/>
      </c>
      <c r="BD54" s="177" t="str">
        <f>IFERROR(Inv_SY_B!BD54/Inv_SY_B!$CA54-1,"")</f>
        <v/>
      </c>
      <c r="BE54" s="177" t="str">
        <f>IFERROR(Inv_SY_B!BE54/Inv_SY_B!$CA54-1,"")</f>
        <v/>
      </c>
      <c r="BF54" s="177" t="str">
        <f>IFERROR(Inv_SY_B!BF54/Inv_SY_B!$CA54-1,"")</f>
        <v/>
      </c>
      <c r="BG54" s="177" t="str">
        <f>IFERROR(Inv_SY_B!BG54/Inv_SY_B!$CA54-1,"")</f>
        <v/>
      </c>
      <c r="BH54" s="177" t="str">
        <f>IFERROR(Inv_SY_B!BH54/Inv_SY_B!$CA54-1,"")</f>
        <v/>
      </c>
      <c r="BI54" s="177" t="str">
        <f>IFERROR(Inv_SY_B!BI54/Inv_SY_B!$CA54-1,"")</f>
        <v/>
      </c>
      <c r="BJ54" s="177" t="str">
        <f>IFERROR(Inv_SY_B!BJ54/Inv_SY_B!$CA54-1,"")</f>
        <v/>
      </c>
      <c r="BK54" s="177" t="str">
        <f>IFERROR(Inv_SY_B!BK54/Inv_SY_B!$CA54-1,"")</f>
        <v/>
      </c>
      <c r="BL54" s="177" t="str">
        <f>IFERROR(Inv_SY_B!BL54/Inv_SY_B!$CA54-1,"")</f>
        <v/>
      </c>
      <c r="BM54" s="177" t="str">
        <f>IFERROR(Inv_SY_B!BM54/Inv_SY_B!$CA54-1,"")</f>
        <v/>
      </c>
      <c r="BN54" s="177" t="str">
        <f>IFERROR(Inv_SY_B!BN54/Inv_SY_B!$CA54-1,"")</f>
        <v/>
      </c>
      <c r="BO54" s="177" t="str">
        <f>IFERROR(Inv_SY_B!BO54/Inv_SY_B!$CA54-1,"")</f>
        <v/>
      </c>
      <c r="BP54" s="177" t="str">
        <f>IFERROR(Inv_SY_B!BP54/Inv_SY_B!$CA54-1,"")</f>
        <v/>
      </c>
      <c r="BQ54" s="177" t="str">
        <f>IFERROR(Inv_SY_B!BQ54/Inv_SY_B!$CA54-1,"")</f>
        <v/>
      </c>
      <c r="BR54" s="177" t="str">
        <f>IFERROR(Inv_SY_B!BR54/Inv_SY_B!$CA54-1,"")</f>
        <v/>
      </c>
      <c r="BS54" s="177" t="str">
        <f>IFERROR(Inv_SY_B!BS54/Inv_SY_B!$CA54-1,"")</f>
        <v/>
      </c>
      <c r="BT54" s="177" t="str">
        <f>IFERROR(Inv_SY_B!BT54/Inv_SY_B!$CA54-1,"")</f>
        <v/>
      </c>
      <c r="BU54" s="177" t="str">
        <f>IFERROR(Inv_SY_B!BU54/Inv_SY_B!$CA54-1,"")</f>
        <v/>
      </c>
      <c r="BV54" s="177" t="str">
        <f>IFERROR(Inv_SY_B!BV54/Inv_SY_B!$CA54-1,"")</f>
        <v/>
      </c>
      <c r="BW54" s="177" t="str">
        <f>IFERROR(Inv_SY_B!BW54/Inv_SY_B!$CA54-1,"")</f>
        <v/>
      </c>
      <c r="BX54" s="177" t="str">
        <f>IFERROR(Inv_SY_B!BX54/Inv_SY_B!$CA54-1,"")</f>
        <v/>
      </c>
    </row>
    <row r="55" spans="2:76">
      <c r="B55" s="173">
        <f t="shared" si="2"/>
        <v>45888</v>
      </c>
      <c r="C55" s="177" t="str">
        <f>IFERROR(Inv_SY_B!C55/Inv_SY_B!$BY55-1,"")</f>
        <v/>
      </c>
      <c r="D55" s="177" t="str">
        <f>IFERROR(Inv_SY_B!D55/Inv_SY_B!$BY55-1,"")</f>
        <v/>
      </c>
      <c r="E55" s="177" t="str">
        <f>IFERROR(Inv_SY_B!E55/Inv_SY_B!$BY55-1,"")</f>
        <v/>
      </c>
      <c r="F55" s="177" t="str">
        <f>IFERROR(Inv_SY_B!F55/Inv_SY_B!$BY55-1,"")</f>
        <v/>
      </c>
      <c r="G55" s="177" t="str">
        <f>IFERROR(Inv_SY_B!G55/Inv_SY_B!$BY55-1,"")</f>
        <v/>
      </c>
      <c r="H55" s="177" t="str">
        <f>IFERROR(Inv_SY_B!H55/Inv_SY_B!$BY55-1,"")</f>
        <v/>
      </c>
      <c r="I55" s="177" t="str">
        <f>IFERROR(Inv_SY_B!I55/Inv_SY_B!$BY55-1,"")</f>
        <v/>
      </c>
      <c r="J55" s="177" t="str">
        <f>IFERROR(Inv_SY_B!J55/Inv_SY_B!$BY55-1,"")</f>
        <v/>
      </c>
      <c r="K55" s="177" t="str">
        <f>IFERROR(Inv_SY_B!K55/Inv_SY_B!$BY55-1,"")</f>
        <v/>
      </c>
      <c r="L55" s="177" t="str">
        <f>IFERROR(Inv_SY_B!L55/Inv_SY_B!$BY55-1,"")</f>
        <v/>
      </c>
      <c r="M55" s="177" t="str">
        <f>IFERROR(Inv_SY_B!M55/Inv_SY_B!$BY55-1,"")</f>
        <v/>
      </c>
      <c r="N55" s="177" t="str">
        <f>IFERROR(Inv_SY_B!N55/Inv_SY_B!$BY55-1,"")</f>
        <v/>
      </c>
      <c r="O55" s="177" t="str">
        <f>IFERROR(Inv_SY_B!O55/Inv_SY_B!$BY55-1,"")</f>
        <v/>
      </c>
      <c r="P55" s="177" t="str">
        <f>IFERROR(Inv_SY_B!P55/Inv_SY_B!$BY55-1,"")</f>
        <v/>
      </c>
      <c r="Q55" s="177" t="str">
        <f>IFERROR(Inv_SY_B!Q55/Inv_SY_B!$BY55-1,"")</f>
        <v/>
      </c>
      <c r="R55" s="177" t="str">
        <f>IFERROR(Inv_SY_B!R55/Inv_SY_B!$BY55-1,"")</f>
        <v/>
      </c>
      <c r="S55" s="177" t="str">
        <f>IFERROR(Inv_SY_B!S55/Inv_SY_B!$BY55-1,"")</f>
        <v/>
      </c>
      <c r="T55" s="177" t="str">
        <f>IFERROR(Inv_SY_B!T55/Inv_SY_B!$BY55-1,"")</f>
        <v/>
      </c>
      <c r="U55" s="177" t="str">
        <f>IFERROR(Inv_SY_B!U55/Inv_SY_B!$BY55-1,"")</f>
        <v/>
      </c>
      <c r="V55" s="177" t="str">
        <f>IFERROR(Inv_SY_B!V55/Inv_SY_B!$BY55-1,"")</f>
        <v/>
      </c>
      <c r="W55" s="177" t="str">
        <f>IFERROR(Inv_SY_B!W55/Inv_SY_B!$BY55-1,"")</f>
        <v/>
      </c>
      <c r="X55" s="177" t="str">
        <f>IFERROR(Inv_SY_B!X55/Inv_SY_B!$BY55-1,"")</f>
        <v/>
      </c>
      <c r="Y55" s="177" t="str">
        <f>IFERROR(Inv_SY_B!Y55/Inv_SY_B!$BY55-1,"")</f>
        <v/>
      </c>
      <c r="Z55" s="177" t="str">
        <f>IFERROR(Inv_SY_B!Z55/Inv_SY_B!$BY55-1,"")</f>
        <v/>
      </c>
      <c r="AA55" s="177" t="str">
        <f>IFERROR(Inv_SY_B!AA55/Inv_SY_B!$BY55-1,"")</f>
        <v/>
      </c>
      <c r="AB55" s="177" t="str">
        <f>IFERROR(Inv_SY_B!AB55/Inv_SY_B!$BY55-1,"")</f>
        <v/>
      </c>
      <c r="AC55" s="177" t="str">
        <f>IFERROR(Inv_SY_B!AC55/Inv_SY_B!$BY55-1,"")</f>
        <v/>
      </c>
      <c r="AD55" s="177" t="str">
        <f>IFERROR(Inv_SY_B!AD55/Inv_SY_B!$BY55-1,"")</f>
        <v/>
      </c>
      <c r="AE55" s="177" t="str">
        <f>IFERROR(Inv_SY_B!AE55/Inv_SY_B!$BZ55-1,"")</f>
        <v/>
      </c>
      <c r="AF55" s="177" t="str">
        <f>IFERROR(Inv_SY_B!AF55/Inv_SY_B!$BZ55-1,"")</f>
        <v/>
      </c>
      <c r="AG55" s="177" t="str">
        <f>IFERROR(Inv_SY_B!AG55/Inv_SY_B!$BZ55-1,"")</f>
        <v/>
      </c>
      <c r="AH55" s="177" t="str">
        <f>IFERROR(Inv_SY_B!AH55/Inv_SY_B!$BZ55-1,"")</f>
        <v/>
      </c>
      <c r="AI55" s="177" t="str">
        <f>IFERROR(Inv_SY_B!AI55/Inv_SY_B!$BZ55-1,"")</f>
        <v/>
      </c>
      <c r="AJ55" s="177" t="str">
        <f>IFERROR(Inv_SY_B!AJ55/Inv_SY_B!$BZ55-1,"")</f>
        <v/>
      </c>
      <c r="AK55" s="177" t="str">
        <f>IFERROR(Inv_SY_B!AK55/Inv_SY_B!$BZ55-1,"")</f>
        <v/>
      </c>
      <c r="AL55" s="177" t="str">
        <f>IFERROR(Inv_SY_B!AL55/Inv_SY_B!$BZ55-1,"")</f>
        <v/>
      </c>
      <c r="AM55" s="177" t="str">
        <f>IFERROR(Inv_SY_B!AM55/Inv_SY_B!$BZ55-1,"")</f>
        <v/>
      </c>
      <c r="AN55" s="177" t="str">
        <f>IFERROR(Inv_SY_B!AN55/Inv_SY_B!$BZ55-1,"")</f>
        <v/>
      </c>
      <c r="AO55" s="177" t="str">
        <f>IFERROR(Inv_SY_B!AO55/Inv_SY_B!$BZ55-1,"")</f>
        <v/>
      </c>
      <c r="AP55" s="177" t="str">
        <f>IFERROR(Inv_SY_B!AP55/Inv_SY_B!$BZ55-1,"")</f>
        <v/>
      </c>
      <c r="AQ55" s="177" t="str">
        <f>IFERROR(Inv_SY_B!AQ55/Inv_SY_B!$BZ55-1,"")</f>
        <v/>
      </c>
      <c r="AR55" s="177" t="str">
        <f>IFERROR(Inv_SY_B!AR55/Inv_SY_B!$BZ55-1,"")</f>
        <v/>
      </c>
      <c r="AS55" s="177" t="str">
        <f>IFERROR(Inv_SY_B!AS55/Inv_SY_B!$BZ55-1,"")</f>
        <v/>
      </c>
      <c r="AT55" s="177" t="str">
        <f>IFERROR(Inv_SY_B!AT55/Inv_SY_B!$BZ55-1,"")</f>
        <v/>
      </c>
      <c r="AU55" s="177" t="str">
        <f>IFERROR(Inv_SY_B!AU55/Inv_SY_B!$BZ55-1,"")</f>
        <v/>
      </c>
      <c r="AV55" s="177" t="str">
        <f>IFERROR(Inv_SY_B!AV55/Inv_SY_B!$BZ55-1,"")</f>
        <v/>
      </c>
      <c r="AW55" s="177" t="str">
        <f>IFERROR(Inv_SY_B!AW55/Inv_SY_B!$CA55-1,"")</f>
        <v/>
      </c>
      <c r="AX55" s="177" t="str">
        <f>IFERROR(Inv_SY_B!AX55/Inv_SY_B!$CA55-1,"")</f>
        <v/>
      </c>
      <c r="AY55" s="177" t="str">
        <f>IFERROR(Inv_SY_B!AY55/Inv_SY_B!$CA55-1,"")</f>
        <v/>
      </c>
      <c r="AZ55" s="177" t="str">
        <f>IFERROR(Inv_SY_B!AZ55/Inv_SY_B!$CA55-1,"")</f>
        <v/>
      </c>
      <c r="BA55" s="177" t="str">
        <f>IFERROR(Inv_SY_B!BA55/Inv_SY_B!$CA55-1,"")</f>
        <v/>
      </c>
      <c r="BB55" s="177" t="str">
        <f>IFERROR(Inv_SY_B!BB55/Inv_SY_B!$CA55-1,"")</f>
        <v/>
      </c>
      <c r="BC55" s="177" t="str">
        <f>IFERROR(Inv_SY_B!BC55/Inv_SY_B!$CA55-1,"")</f>
        <v/>
      </c>
      <c r="BD55" s="177" t="str">
        <f>IFERROR(Inv_SY_B!BD55/Inv_SY_B!$CA55-1,"")</f>
        <v/>
      </c>
      <c r="BE55" s="177" t="str">
        <f>IFERROR(Inv_SY_B!BE55/Inv_SY_B!$CA55-1,"")</f>
        <v/>
      </c>
      <c r="BF55" s="177" t="str">
        <f>IFERROR(Inv_SY_B!BF55/Inv_SY_B!$CA55-1,"")</f>
        <v/>
      </c>
      <c r="BG55" s="177" t="str">
        <f>IFERROR(Inv_SY_B!BG55/Inv_SY_B!$CA55-1,"")</f>
        <v/>
      </c>
      <c r="BH55" s="177" t="str">
        <f>IFERROR(Inv_SY_B!BH55/Inv_SY_B!$CA55-1,"")</f>
        <v/>
      </c>
      <c r="BI55" s="177" t="str">
        <f>IFERROR(Inv_SY_B!BI55/Inv_SY_B!$CA55-1,"")</f>
        <v/>
      </c>
      <c r="BJ55" s="177" t="str">
        <f>IFERROR(Inv_SY_B!BJ55/Inv_SY_B!$CA55-1,"")</f>
        <v/>
      </c>
      <c r="BK55" s="177" t="str">
        <f>IFERROR(Inv_SY_B!BK55/Inv_SY_B!$CA55-1,"")</f>
        <v/>
      </c>
      <c r="BL55" s="177" t="str">
        <f>IFERROR(Inv_SY_B!BL55/Inv_SY_B!$CA55-1,"")</f>
        <v/>
      </c>
      <c r="BM55" s="177" t="str">
        <f>IFERROR(Inv_SY_B!BM55/Inv_SY_B!$CA55-1,"")</f>
        <v/>
      </c>
      <c r="BN55" s="177" t="str">
        <f>IFERROR(Inv_SY_B!BN55/Inv_SY_B!$CA55-1,"")</f>
        <v/>
      </c>
      <c r="BO55" s="177" t="str">
        <f>IFERROR(Inv_SY_B!BO55/Inv_SY_B!$CA55-1,"")</f>
        <v/>
      </c>
      <c r="BP55" s="177" t="str">
        <f>IFERROR(Inv_SY_B!BP55/Inv_SY_B!$CA55-1,"")</f>
        <v/>
      </c>
      <c r="BQ55" s="177" t="str">
        <f>IFERROR(Inv_SY_B!BQ55/Inv_SY_B!$CA55-1,"")</f>
        <v/>
      </c>
      <c r="BR55" s="177" t="str">
        <f>IFERROR(Inv_SY_B!BR55/Inv_SY_B!$CA55-1,"")</f>
        <v/>
      </c>
      <c r="BS55" s="177" t="str">
        <f>IFERROR(Inv_SY_B!BS55/Inv_SY_B!$CA55-1,"")</f>
        <v/>
      </c>
      <c r="BT55" s="177" t="str">
        <f>IFERROR(Inv_SY_B!BT55/Inv_SY_B!$CA55-1,"")</f>
        <v/>
      </c>
      <c r="BU55" s="177" t="str">
        <f>IFERROR(Inv_SY_B!BU55/Inv_SY_B!$CA55-1,"")</f>
        <v/>
      </c>
      <c r="BV55" s="177" t="str">
        <f>IFERROR(Inv_SY_B!BV55/Inv_SY_B!$CA55-1,"")</f>
        <v/>
      </c>
      <c r="BW55" s="177" t="str">
        <f>IFERROR(Inv_SY_B!BW55/Inv_SY_B!$CA55-1,"")</f>
        <v/>
      </c>
      <c r="BX55" s="177" t="str">
        <f>IFERROR(Inv_SY_B!BX55/Inv_SY_B!$CA55-1,"")</f>
        <v/>
      </c>
    </row>
    <row r="56" spans="2:76">
      <c r="B56" s="173">
        <f t="shared" si="2"/>
        <v>45889</v>
      </c>
      <c r="C56" s="177" t="str">
        <f>IFERROR(Inv_SY_B!C56/Inv_SY_B!$BY56-1,"")</f>
        <v/>
      </c>
      <c r="D56" s="177" t="str">
        <f>IFERROR(Inv_SY_B!D56/Inv_SY_B!$BY56-1,"")</f>
        <v/>
      </c>
      <c r="E56" s="177" t="str">
        <f>IFERROR(Inv_SY_B!E56/Inv_SY_B!$BY56-1,"")</f>
        <v/>
      </c>
      <c r="F56" s="177" t="str">
        <f>IFERROR(Inv_SY_B!F56/Inv_SY_B!$BY56-1,"")</f>
        <v/>
      </c>
      <c r="G56" s="177" t="str">
        <f>IFERROR(Inv_SY_B!G56/Inv_SY_B!$BY56-1,"")</f>
        <v/>
      </c>
      <c r="H56" s="177" t="str">
        <f>IFERROR(Inv_SY_B!H56/Inv_SY_B!$BY56-1,"")</f>
        <v/>
      </c>
      <c r="I56" s="177" t="str">
        <f>IFERROR(Inv_SY_B!I56/Inv_SY_B!$BY56-1,"")</f>
        <v/>
      </c>
      <c r="J56" s="177" t="str">
        <f>IFERROR(Inv_SY_B!J56/Inv_SY_B!$BY56-1,"")</f>
        <v/>
      </c>
      <c r="K56" s="177" t="str">
        <f>IFERROR(Inv_SY_B!K56/Inv_SY_B!$BY56-1,"")</f>
        <v/>
      </c>
      <c r="L56" s="177" t="str">
        <f>IFERROR(Inv_SY_B!L56/Inv_SY_B!$BY56-1,"")</f>
        <v/>
      </c>
      <c r="M56" s="177" t="str">
        <f>IFERROR(Inv_SY_B!M56/Inv_SY_B!$BY56-1,"")</f>
        <v/>
      </c>
      <c r="N56" s="177" t="str">
        <f>IFERROR(Inv_SY_B!N56/Inv_SY_B!$BY56-1,"")</f>
        <v/>
      </c>
      <c r="O56" s="177" t="str">
        <f>IFERROR(Inv_SY_B!O56/Inv_SY_B!$BY56-1,"")</f>
        <v/>
      </c>
      <c r="P56" s="177" t="str">
        <f>IFERROR(Inv_SY_B!P56/Inv_SY_B!$BY56-1,"")</f>
        <v/>
      </c>
      <c r="Q56" s="177" t="str">
        <f>IFERROR(Inv_SY_B!Q56/Inv_SY_B!$BY56-1,"")</f>
        <v/>
      </c>
      <c r="R56" s="177" t="str">
        <f>IFERROR(Inv_SY_B!R56/Inv_SY_B!$BY56-1,"")</f>
        <v/>
      </c>
      <c r="S56" s="177" t="str">
        <f>IFERROR(Inv_SY_B!S56/Inv_SY_B!$BY56-1,"")</f>
        <v/>
      </c>
      <c r="T56" s="177" t="str">
        <f>IFERROR(Inv_SY_B!T56/Inv_SY_B!$BY56-1,"")</f>
        <v/>
      </c>
      <c r="U56" s="177" t="str">
        <f>IFERROR(Inv_SY_B!U56/Inv_SY_B!$BY56-1,"")</f>
        <v/>
      </c>
      <c r="V56" s="177" t="str">
        <f>IFERROR(Inv_SY_B!V56/Inv_SY_B!$BY56-1,"")</f>
        <v/>
      </c>
      <c r="W56" s="177" t="str">
        <f>IFERROR(Inv_SY_B!W56/Inv_SY_B!$BY56-1,"")</f>
        <v/>
      </c>
      <c r="X56" s="177" t="str">
        <f>IFERROR(Inv_SY_B!X56/Inv_SY_B!$BY56-1,"")</f>
        <v/>
      </c>
      <c r="Y56" s="177" t="str">
        <f>IFERROR(Inv_SY_B!Y56/Inv_SY_B!$BY56-1,"")</f>
        <v/>
      </c>
      <c r="Z56" s="177" t="str">
        <f>IFERROR(Inv_SY_B!Z56/Inv_SY_B!$BY56-1,"")</f>
        <v/>
      </c>
      <c r="AA56" s="177" t="str">
        <f>IFERROR(Inv_SY_B!AA56/Inv_SY_B!$BY56-1,"")</f>
        <v/>
      </c>
      <c r="AB56" s="177" t="str">
        <f>IFERROR(Inv_SY_B!AB56/Inv_SY_B!$BY56-1,"")</f>
        <v/>
      </c>
      <c r="AC56" s="177" t="str">
        <f>IFERROR(Inv_SY_B!AC56/Inv_SY_B!$BY56-1,"")</f>
        <v/>
      </c>
      <c r="AD56" s="177" t="str">
        <f>IFERROR(Inv_SY_B!AD56/Inv_SY_B!$BY56-1,"")</f>
        <v/>
      </c>
      <c r="AE56" s="177" t="str">
        <f>IFERROR(Inv_SY_B!AE56/Inv_SY_B!$BZ56-1,"")</f>
        <v/>
      </c>
      <c r="AF56" s="177" t="str">
        <f>IFERROR(Inv_SY_B!AF56/Inv_SY_B!$BZ56-1,"")</f>
        <v/>
      </c>
      <c r="AG56" s="177" t="str">
        <f>IFERROR(Inv_SY_B!AG56/Inv_SY_B!$BZ56-1,"")</f>
        <v/>
      </c>
      <c r="AH56" s="177" t="str">
        <f>IFERROR(Inv_SY_B!AH56/Inv_SY_B!$BZ56-1,"")</f>
        <v/>
      </c>
      <c r="AI56" s="177" t="str">
        <f>IFERROR(Inv_SY_B!AI56/Inv_SY_B!$BZ56-1,"")</f>
        <v/>
      </c>
      <c r="AJ56" s="177" t="str">
        <f>IFERROR(Inv_SY_B!AJ56/Inv_SY_B!$BZ56-1,"")</f>
        <v/>
      </c>
      <c r="AK56" s="177" t="str">
        <f>IFERROR(Inv_SY_B!AK56/Inv_SY_B!$BZ56-1,"")</f>
        <v/>
      </c>
      <c r="AL56" s="177" t="str">
        <f>IFERROR(Inv_SY_B!AL56/Inv_SY_B!$BZ56-1,"")</f>
        <v/>
      </c>
      <c r="AM56" s="177" t="str">
        <f>IFERROR(Inv_SY_B!AM56/Inv_SY_B!$BZ56-1,"")</f>
        <v/>
      </c>
      <c r="AN56" s="177" t="str">
        <f>IFERROR(Inv_SY_B!AN56/Inv_SY_B!$BZ56-1,"")</f>
        <v/>
      </c>
      <c r="AO56" s="177" t="str">
        <f>IFERROR(Inv_SY_B!AO56/Inv_SY_B!$BZ56-1,"")</f>
        <v/>
      </c>
      <c r="AP56" s="177" t="str">
        <f>IFERROR(Inv_SY_B!AP56/Inv_SY_B!$BZ56-1,"")</f>
        <v/>
      </c>
      <c r="AQ56" s="177" t="str">
        <f>IFERROR(Inv_SY_B!AQ56/Inv_SY_B!$BZ56-1,"")</f>
        <v/>
      </c>
      <c r="AR56" s="177" t="str">
        <f>IFERROR(Inv_SY_B!AR56/Inv_SY_B!$BZ56-1,"")</f>
        <v/>
      </c>
      <c r="AS56" s="177" t="str">
        <f>IFERROR(Inv_SY_B!AS56/Inv_SY_B!$BZ56-1,"")</f>
        <v/>
      </c>
      <c r="AT56" s="177" t="str">
        <f>IFERROR(Inv_SY_B!AT56/Inv_SY_B!$BZ56-1,"")</f>
        <v/>
      </c>
      <c r="AU56" s="177" t="str">
        <f>IFERROR(Inv_SY_B!AU56/Inv_SY_B!$BZ56-1,"")</f>
        <v/>
      </c>
      <c r="AV56" s="177" t="str">
        <f>IFERROR(Inv_SY_B!AV56/Inv_SY_B!$BZ56-1,"")</f>
        <v/>
      </c>
      <c r="AW56" s="177" t="str">
        <f>IFERROR(Inv_SY_B!AW56/Inv_SY_B!$CA56-1,"")</f>
        <v/>
      </c>
      <c r="AX56" s="177" t="str">
        <f>IFERROR(Inv_SY_B!AX56/Inv_SY_B!$CA56-1,"")</f>
        <v/>
      </c>
      <c r="AY56" s="177" t="str">
        <f>IFERROR(Inv_SY_B!AY56/Inv_SY_B!$CA56-1,"")</f>
        <v/>
      </c>
      <c r="AZ56" s="177" t="str">
        <f>IFERROR(Inv_SY_B!AZ56/Inv_SY_B!$CA56-1,"")</f>
        <v/>
      </c>
      <c r="BA56" s="177" t="str">
        <f>IFERROR(Inv_SY_B!BA56/Inv_SY_B!$CA56-1,"")</f>
        <v/>
      </c>
      <c r="BB56" s="177" t="str">
        <f>IFERROR(Inv_SY_B!BB56/Inv_SY_B!$CA56-1,"")</f>
        <v/>
      </c>
      <c r="BC56" s="177" t="str">
        <f>IFERROR(Inv_SY_B!BC56/Inv_SY_B!$CA56-1,"")</f>
        <v/>
      </c>
      <c r="BD56" s="177" t="str">
        <f>IFERROR(Inv_SY_B!BD56/Inv_SY_B!$CA56-1,"")</f>
        <v/>
      </c>
      <c r="BE56" s="177" t="str">
        <f>IFERROR(Inv_SY_B!BE56/Inv_SY_B!$CA56-1,"")</f>
        <v/>
      </c>
      <c r="BF56" s="177" t="str">
        <f>IFERROR(Inv_SY_B!BF56/Inv_SY_B!$CA56-1,"")</f>
        <v/>
      </c>
      <c r="BG56" s="177" t="str">
        <f>IFERROR(Inv_SY_B!BG56/Inv_SY_B!$CA56-1,"")</f>
        <v/>
      </c>
      <c r="BH56" s="177" t="str">
        <f>IFERROR(Inv_SY_B!BH56/Inv_SY_B!$CA56-1,"")</f>
        <v/>
      </c>
      <c r="BI56" s="177" t="str">
        <f>IFERROR(Inv_SY_B!BI56/Inv_SY_B!$CA56-1,"")</f>
        <v/>
      </c>
      <c r="BJ56" s="177" t="str">
        <f>IFERROR(Inv_SY_B!BJ56/Inv_SY_B!$CA56-1,"")</f>
        <v/>
      </c>
      <c r="BK56" s="177" t="str">
        <f>IFERROR(Inv_SY_B!BK56/Inv_SY_B!$CA56-1,"")</f>
        <v/>
      </c>
      <c r="BL56" s="177" t="str">
        <f>IFERROR(Inv_SY_B!BL56/Inv_SY_B!$CA56-1,"")</f>
        <v/>
      </c>
      <c r="BM56" s="177" t="str">
        <f>IFERROR(Inv_SY_B!BM56/Inv_SY_B!$CA56-1,"")</f>
        <v/>
      </c>
      <c r="BN56" s="177" t="str">
        <f>IFERROR(Inv_SY_B!BN56/Inv_SY_B!$CA56-1,"")</f>
        <v/>
      </c>
      <c r="BO56" s="177" t="str">
        <f>IFERROR(Inv_SY_B!BO56/Inv_SY_B!$CA56-1,"")</f>
        <v/>
      </c>
      <c r="BP56" s="177" t="str">
        <f>IFERROR(Inv_SY_B!BP56/Inv_SY_B!$CA56-1,"")</f>
        <v/>
      </c>
      <c r="BQ56" s="177" t="str">
        <f>IFERROR(Inv_SY_B!BQ56/Inv_SY_B!$CA56-1,"")</f>
        <v/>
      </c>
      <c r="BR56" s="177" t="str">
        <f>IFERROR(Inv_SY_B!BR56/Inv_SY_B!$CA56-1,"")</f>
        <v/>
      </c>
      <c r="BS56" s="177" t="str">
        <f>IFERROR(Inv_SY_B!BS56/Inv_SY_B!$CA56-1,"")</f>
        <v/>
      </c>
      <c r="BT56" s="177" t="str">
        <f>IFERROR(Inv_SY_B!BT56/Inv_SY_B!$CA56-1,"")</f>
        <v/>
      </c>
      <c r="BU56" s="177" t="str">
        <f>IFERROR(Inv_SY_B!BU56/Inv_SY_B!$CA56-1,"")</f>
        <v/>
      </c>
      <c r="BV56" s="177" t="str">
        <f>IFERROR(Inv_SY_B!BV56/Inv_SY_B!$CA56-1,"")</f>
        <v/>
      </c>
      <c r="BW56" s="177" t="str">
        <f>IFERROR(Inv_SY_B!BW56/Inv_SY_B!$CA56-1,"")</f>
        <v/>
      </c>
      <c r="BX56" s="177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5"/>
  <cols>
    <col min="2" max="2" width="9.140625" style="9"/>
    <col min="4" max="4" width="31.42578125" bestFit="1" customWidth="1"/>
    <col min="5" max="5" width="31.42578125" style="5" bestFit="1" customWidth="1"/>
  </cols>
  <sheetData>
    <row r="3" spans="2:7">
      <c r="B3" s="6" t="s">
        <v>6</v>
      </c>
      <c r="C3" s="2" t="s">
        <v>301</v>
      </c>
      <c r="D3" s="2" t="s">
        <v>302</v>
      </c>
      <c r="E3" s="2" t="s">
        <v>303</v>
      </c>
    </row>
    <row r="4" spans="2:7">
      <c r="B4" s="6">
        <v>1</v>
      </c>
      <c r="C4" s="2"/>
      <c r="D4" s="2" t="s">
        <v>304</v>
      </c>
      <c r="E4" s="1" t="s">
        <v>305</v>
      </c>
    </row>
    <row r="5" spans="2: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5546875" defaultRowHeight="15"/>
  <cols>
    <col min="1" max="2" width="10.140625" customWidth="1"/>
    <col min="3" max="3" width="12.140625" customWidth="1"/>
    <col min="4" max="4" width="12.85546875" customWidth="1"/>
    <col min="5" max="5" width="13.85546875" customWidth="1"/>
    <col min="6" max="6" width="19.140625" customWidth="1"/>
    <col min="7" max="7" width="8.140625" customWidth="1"/>
    <col min="8" max="8" width="9.140625" style="5" customWidth="1"/>
    <col min="9" max="9" width="10" style="5" customWidth="1"/>
    <col min="10" max="10" width="72.140625" customWidth="1"/>
    <col min="11" max="11" width="9.85546875" customWidth="1"/>
    <col min="13" max="13" width="10.140625" customWidth="1"/>
    <col min="14" max="14" width="12" customWidth="1"/>
    <col min="15" max="15" width="8.140625" customWidth="1"/>
    <col min="16" max="16" width="8" customWidth="1"/>
    <col min="17" max="17" width="38" customWidth="1"/>
    <col min="18" max="18" width="8.85546875" customWidth="1"/>
    <col min="19" max="21" width="11.85546875" customWidth="1"/>
    <col min="22" max="22" width="15.1406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9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F1" zoomScaleNormal="100" workbookViewId="0">
      <pane ySplit="1" topLeftCell="A2" activePane="bottomLeft" state="frozen"/>
      <selection activeCell="H1" sqref="H1"/>
      <selection pane="bottomLeft" activeCell="AG2" sqref="AG2:AG9"/>
    </sheetView>
  </sheetViews>
  <sheetFormatPr defaultColWidth="8.85546875" defaultRowHeight="15"/>
  <cols>
    <col min="1" max="1" width="17.140625" bestFit="1" customWidth="1"/>
    <col min="2" max="2" width="8.42578125" style="5" customWidth="1"/>
    <col min="3" max="3" width="2.42578125" customWidth="1"/>
    <col min="4" max="4" width="13.85546875" bestFit="1" customWidth="1"/>
    <col min="5" max="5" width="1.140625" customWidth="1"/>
    <col min="7" max="7" width="1.85546875" customWidth="1"/>
    <col min="9" max="9" width="1" customWidth="1"/>
    <col min="11" max="11" width="1.85546875" customWidth="1"/>
    <col min="12" max="12" width="15.140625" customWidth="1"/>
    <col min="13" max="13" width="2.140625" customWidth="1"/>
    <col min="14" max="14" width="17.85546875" bestFit="1" customWidth="1"/>
    <col min="15" max="15" width="5.85546875" customWidth="1"/>
    <col min="16" max="16" width="29.7109375" bestFit="1" customWidth="1"/>
    <col min="17" max="17" width="12.140625" customWidth="1"/>
    <col min="18" max="18" width="12.7109375" customWidth="1"/>
    <col min="19" max="19" width="12" style="5" customWidth="1"/>
    <col min="20" max="20" width="24.85546875" bestFit="1" customWidth="1"/>
    <col min="21" max="21" width="9.42578125" bestFit="1" customWidth="1"/>
    <col min="22" max="22" width="15.140625" customWidth="1"/>
    <col min="25" max="25" width="9.140625" bestFit="1" customWidth="1"/>
    <col min="27" max="27" width="25.85546875" customWidth="1"/>
    <col min="31" max="31" width="10.7109375" bestFit="1" customWidth="1"/>
    <col min="33" max="33" width="15.42578125" customWidth="1"/>
    <col min="34" max="34" width="11.85546875" customWidth="1"/>
  </cols>
  <sheetData>
    <row r="1" spans="1:36">
      <c r="A1" s="12" t="s">
        <v>325</v>
      </c>
      <c r="B1" s="167" t="s">
        <v>326</v>
      </c>
      <c r="D1" s="12" t="s">
        <v>327</v>
      </c>
      <c r="F1" s="12" t="s">
        <v>328</v>
      </c>
      <c r="H1" s="12" t="s">
        <v>329</v>
      </c>
      <c r="J1" s="12" t="s">
        <v>330</v>
      </c>
      <c r="L1" s="12" t="s">
        <v>331</v>
      </c>
      <c r="N1" s="12" t="s">
        <v>332</v>
      </c>
      <c r="P1" s="290" t="s">
        <v>333</v>
      </c>
      <c r="Q1" s="13" t="s">
        <v>334</v>
      </c>
      <c r="R1" s="13" t="s">
        <v>310</v>
      </c>
      <c r="S1" s="122" t="s">
        <v>335</v>
      </c>
      <c r="T1" s="13" t="s">
        <v>336</v>
      </c>
      <c r="U1" s="13" t="s">
        <v>337</v>
      </c>
      <c r="V1" s="13" t="s">
        <v>338</v>
      </c>
      <c r="W1" s="13" t="s">
        <v>339</v>
      </c>
      <c r="X1" s="13" t="s">
        <v>340</v>
      </c>
      <c r="Y1" s="13" t="s">
        <v>341</v>
      </c>
      <c r="AA1" s="13" t="s">
        <v>342</v>
      </c>
      <c r="AC1" s="13" t="s">
        <v>320</v>
      </c>
      <c r="AE1" s="13" t="s">
        <v>35</v>
      </c>
      <c r="AF1" s="13" t="s">
        <v>343</v>
      </c>
      <c r="AG1" s="13" t="s">
        <v>344</v>
      </c>
      <c r="AH1" s="13" t="s">
        <v>345</v>
      </c>
      <c r="AJ1" s="309" t="s">
        <v>1265</v>
      </c>
    </row>
    <row r="2" spans="1:36">
      <c r="A2" t="s">
        <v>346</v>
      </c>
      <c r="B2" s="1">
        <f>AG10*1000</f>
        <v>129747.99999999999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10" t="s">
        <v>36</v>
      </c>
      <c r="R2" s="2" t="s">
        <v>353</v>
      </c>
      <c r="S2" s="3">
        <v>1596.3050000000001</v>
      </c>
      <c r="T2" s="11">
        <f t="shared" ref="T2:T29" si="0">S2/$B$2</f>
        <v>1.2303118352498692E-2</v>
      </c>
      <c r="U2" s="1" t="s">
        <v>354</v>
      </c>
      <c r="V2" s="6"/>
      <c r="W2" s="291" t="s">
        <v>355</v>
      </c>
      <c r="X2" s="6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70">
        <f>AG2/$AG$10</f>
        <v>2.2890526250886337E-2</v>
      </c>
      <c r="AJ2" s="310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10" t="s">
        <v>36</v>
      </c>
      <c r="R3" s="2" t="s">
        <v>353</v>
      </c>
      <c r="S3" s="3">
        <v>1596.3050000000001</v>
      </c>
      <c r="T3" s="11">
        <f t="shared" si="0"/>
        <v>1.2303118352498692E-2</v>
      </c>
      <c r="U3" s="1" t="s">
        <v>354</v>
      </c>
      <c r="V3" s="6"/>
      <c r="W3" s="291" t="s">
        <v>355</v>
      </c>
      <c r="X3" s="6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7.3520000000000003</v>
      </c>
      <c r="AH3" s="170">
        <f t="shared" ref="AH3:AH10" si="1">AG3/$AG$10</f>
        <v>5.6663686530813585E-2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10" t="s">
        <v>36</v>
      </c>
      <c r="R4" s="2" t="s">
        <v>353</v>
      </c>
      <c r="S4" s="3">
        <v>1503.5050000000001</v>
      </c>
      <c r="T4" s="11">
        <f t="shared" si="0"/>
        <v>1.1587885747757194E-2</v>
      </c>
      <c r="U4" s="1" t="s">
        <v>354</v>
      </c>
      <c r="V4" s="6"/>
      <c r="W4" s="291" t="s">
        <v>355</v>
      </c>
      <c r="X4" s="6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14.32</v>
      </c>
      <c r="AH4" s="170">
        <f t="shared" si="1"/>
        <v>0.11036778986959338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87" t="s">
        <v>379</v>
      </c>
      <c r="P5" s="2" t="s">
        <v>120</v>
      </c>
      <c r="Q5" s="10" t="s">
        <v>36</v>
      </c>
      <c r="R5" s="2" t="s">
        <v>353</v>
      </c>
      <c r="S5" s="3">
        <v>1515.25</v>
      </c>
      <c r="T5" s="11">
        <f t="shared" si="0"/>
        <v>1.1678407374294788E-2</v>
      </c>
      <c r="U5" s="1" t="s">
        <v>354</v>
      </c>
      <c r="V5" s="6"/>
      <c r="W5" s="291" t="s">
        <v>355</v>
      </c>
      <c r="X5" s="6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51.47</v>
      </c>
      <c r="AH5" s="170">
        <f t="shared" si="1"/>
        <v>0.39669204920307061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87" t="s">
        <v>384</v>
      </c>
      <c r="P6" s="2" t="s">
        <v>121</v>
      </c>
      <c r="Q6" s="10" t="s">
        <v>36</v>
      </c>
      <c r="R6" s="2" t="s">
        <v>353</v>
      </c>
      <c r="S6" s="3">
        <v>1560.49</v>
      </c>
      <c r="T6" s="11">
        <f t="shared" si="0"/>
        <v>1.2027083269106269E-2</v>
      </c>
      <c r="U6" s="1" t="s">
        <v>354</v>
      </c>
      <c r="V6" s="6"/>
      <c r="W6" s="291" t="s">
        <v>355</v>
      </c>
      <c r="X6" s="6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7.4640000000000004</v>
      </c>
      <c r="AH6" s="170">
        <f t="shared" si="1"/>
        <v>5.7526898295156774E-2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87" t="s">
        <v>389</v>
      </c>
      <c r="P7" s="2" t="s">
        <v>122</v>
      </c>
      <c r="Q7" s="10" t="s">
        <v>36</v>
      </c>
      <c r="R7" s="2" t="s">
        <v>353</v>
      </c>
      <c r="S7" s="3">
        <v>1614.1399999999999</v>
      </c>
      <c r="T7" s="11">
        <f t="shared" si="0"/>
        <v>1.2440577118722446E-2</v>
      </c>
      <c r="U7" s="1" t="s">
        <v>354</v>
      </c>
      <c r="V7" s="6"/>
      <c r="W7" s="291" t="s">
        <v>355</v>
      </c>
      <c r="X7" s="6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33.079000000000001</v>
      </c>
      <c r="AH7" s="170">
        <f>AG7/$AG$10</f>
        <v>0.25494805314918151</v>
      </c>
    </row>
    <row r="8" spans="1:36">
      <c r="D8" t="s">
        <v>391</v>
      </c>
      <c r="F8" t="s">
        <v>392</v>
      </c>
      <c r="J8" t="s">
        <v>393</v>
      </c>
      <c r="N8" s="287" t="s">
        <v>394</v>
      </c>
      <c r="P8" s="2" t="s">
        <v>123</v>
      </c>
      <c r="Q8" s="10" t="s">
        <v>36</v>
      </c>
      <c r="R8" s="2" t="s">
        <v>353</v>
      </c>
      <c r="S8" s="3">
        <v>1534.9700000000003</v>
      </c>
      <c r="T8" s="11">
        <f t="shared" si="0"/>
        <v>1.1830394302802359E-2</v>
      </c>
      <c r="U8" s="1" t="s">
        <v>354</v>
      </c>
      <c r="V8" s="6"/>
      <c r="W8" s="291" t="s">
        <v>355</v>
      </c>
      <c r="X8" s="6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6.17</v>
      </c>
      <c r="AH8" s="170">
        <f>AG8/$AG$10</f>
        <v>4.7553719517834575E-2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10" t="s">
        <v>36</v>
      </c>
      <c r="R9" s="2" t="s">
        <v>353</v>
      </c>
      <c r="S9" s="3">
        <v>1706.94</v>
      </c>
      <c r="T9" s="11">
        <f t="shared" si="0"/>
        <v>1.3155809723463948E-2</v>
      </c>
      <c r="U9" s="1" t="s">
        <v>354</v>
      </c>
      <c r="V9" s="6"/>
      <c r="W9" s="291" t="s">
        <v>355</v>
      </c>
      <c r="X9" s="6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6.923</v>
      </c>
      <c r="AH9" s="170">
        <f t="shared" si="1"/>
        <v>5.3357277183463336E-2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10" t="s">
        <v>36</v>
      </c>
      <c r="R10" s="2" t="s">
        <v>353</v>
      </c>
      <c r="S10" s="3">
        <v>1590.3600000000001</v>
      </c>
      <c r="T10" s="11">
        <f t="shared" si="0"/>
        <v>1.2257298763757439E-2</v>
      </c>
      <c r="U10" s="1" t="s">
        <v>354</v>
      </c>
      <c r="V10" s="6"/>
      <c r="W10" s="291" t="s">
        <v>355</v>
      </c>
      <c r="X10" s="6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129.74799999999999</v>
      </c>
      <c r="AH10" s="170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10" t="s">
        <v>36</v>
      </c>
      <c r="R11" s="2" t="s">
        <v>353</v>
      </c>
      <c r="S11" s="3">
        <v>1610.9500000000003</v>
      </c>
      <c r="T11" s="11">
        <f t="shared" si="0"/>
        <v>1.2415990997934461E-2</v>
      </c>
      <c r="U11" s="1" t="s">
        <v>354</v>
      </c>
      <c r="V11" s="6"/>
      <c r="W11" s="291" t="s">
        <v>355</v>
      </c>
      <c r="X11" s="6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10" t="s">
        <v>36</v>
      </c>
      <c r="R12" s="2" t="s">
        <v>353</v>
      </c>
      <c r="S12" s="3">
        <v>1524.24</v>
      </c>
      <c r="T12" s="11">
        <f t="shared" si="0"/>
        <v>1.1747695532879122E-2</v>
      </c>
      <c r="U12" s="1" t="s">
        <v>354</v>
      </c>
      <c r="V12" s="6"/>
      <c r="W12" s="291" t="s">
        <v>355</v>
      </c>
      <c r="X12" s="6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10" t="s">
        <v>36</v>
      </c>
      <c r="R13" s="2" t="s">
        <v>353</v>
      </c>
      <c r="S13" s="3">
        <v>1569.625</v>
      </c>
      <c r="T13" s="11">
        <f t="shared" si="0"/>
        <v>1.2097488978635509E-2</v>
      </c>
      <c r="U13" s="1" t="s">
        <v>354</v>
      </c>
      <c r="V13" s="6"/>
      <c r="W13" s="291" t="s">
        <v>355</v>
      </c>
      <c r="X13" s="6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10" t="s">
        <v>36</v>
      </c>
      <c r="R14" s="2" t="s">
        <v>353</v>
      </c>
      <c r="S14" s="3">
        <v>1553.5300000000002</v>
      </c>
      <c r="T14" s="11">
        <f t="shared" si="0"/>
        <v>1.1973440823750658E-2</v>
      </c>
      <c r="U14" s="1" t="s">
        <v>354</v>
      </c>
      <c r="V14" s="6"/>
      <c r="W14" s="291" t="s">
        <v>355</v>
      </c>
      <c r="X14" s="6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10" t="s">
        <v>36</v>
      </c>
      <c r="R15" s="2" t="s">
        <v>353</v>
      </c>
      <c r="S15" s="3">
        <v>1619.65</v>
      </c>
      <c r="T15" s="11">
        <f t="shared" si="0"/>
        <v>1.2483044054628975E-2</v>
      </c>
      <c r="U15" s="1" t="s">
        <v>354</v>
      </c>
      <c r="V15" s="6"/>
      <c r="W15" s="291" t="s">
        <v>355</v>
      </c>
      <c r="X15" s="6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10" t="s">
        <v>36</v>
      </c>
      <c r="R16" s="2" t="s">
        <v>353</v>
      </c>
      <c r="S16" s="3">
        <v>1606.31</v>
      </c>
      <c r="T16" s="11">
        <f t="shared" si="0"/>
        <v>1.2380229367697384E-2</v>
      </c>
      <c r="U16" s="1" t="s">
        <v>354</v>
      </c>
      <c r="V16" s="6"/>
      <c r="W16" s="291" t="s">
        <v>355</v>
      </c>
      <c r="X16" s="6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10" t="s">
        <v>36</v>
      </c>
      <c r="R17" s="2" t="s">
        <v>353</v>
      </c>
      <c r="S17" s="3">
        <v>1674.7500000000002</v>
      </c>
      <c r="T17" s="11">
        <f t="shared" si="0"/>
        <v>1.2907713413694242E-2</v>
      </c>
      <c r="U17" s="1" t="s">
        <v>354</v>
      </c>
      <c r="V17" s="6"/>
      <c r="W17" s="291" t="s">
        <v>355</v>
      </c>
      <c r="X17" s="6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10" t="s">
        <v>36</v>
      </c>
      <c r="R18" s="2" t="s">
        <v>353</v>
      </c>
      <c r="S18" s="3">
        <v>2126.5700000000002</v>
      </c>
      <c r="T18" s="11">
        <f t="shared" si="0"/>
        <v>1.6390002158029413E-2</v>
      </c>
      <c r="U18" s="1" t="s">
        <v>354</v>
      </c>
      <c r="V18" s="6"/>
      <c r="W18" s="291" t="s">
        <v>431</v>
      </c>
      <c r="X18" s="6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10" t="s">
        <v>36</v>
      </c>
      <c r="R19" s="2" t="s">
        <v>353</v>
      </c>
      <c r="S19" s="3">
        <v>2215.31</v>
      </c>
      <c r="T19" s="11">
        <f t="shared" si="0"/>
        <v>1.7073943336313471E-2</v>
      </c>
      <c r="U19" s="1" t="s">
        <v>354</v>
      </c>
      <c r="V19" s="6"/>
      <c r="W19" s="291" t="s">
        <v>431</v>
      </c>
      <c r="X19" s="6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10" t="s">
        <v>36</v>
      </c>
      <c r="R20" s="2" t="s">
        <v>353</v>
      </c>
      <c r="S20" s="3">
        <v>2196.75</v>
      </c>
      <c r="T20" s="11">
        <f t="shared" si="0"/>
        <v>1.6930896815365172E-2</v>
      </c>
      <c r="U20" s="1" t="s">
        <v>354</v>
      </c>
      <c r="V20" s="6"/>
      <c r="W20" s="291" t="s">
        <v>431</v>
      </c>
      <c r="X20" s="6" t="s">
        <v>356</v>
      </c>
      <c r="Y20" s="1" t="s">
        <v>357</v>
      </c>
      <c r="AA20" s="14" t="s">
        <v>436</v>
      </c>
    </row>
    <row r="21" spans="6:27">
      <c r="F21" t="s">
        <v>437</v>
      </c>
      <c r="P21" s="2" t="s">
        <v>136</v>
      </c>
      <c r="Q21" s="10" t="s">
        <v>36</v>
      </c>
      <c r="R21" s="2" t="s">
        <v>353</v>
      </c>
      <c r="S21" s="3">
        <v>2469.9299999999998</v>
      </c>
      <c r="T21" s="11">
        <f t="shared" si="0"/>
        <v>1.9036362795572959E-2</v>
      </c>
      <c r="U21" s="1" t="s">
        <v>354</v>
      </c>
      <c r="V21" s="6"/>
      <c r="W21" s="291" t="s">
        <v>431</v>
      </c>
      <c r="X21" s="6" t="s">
        <v>356</v>
      </c>
      <c r="Y21" s="1" t="s">
        <v>357</v>
      </c>
      <c r="AA21" s="14" t="s">
        <v>438</v>
      </c>
    </row>
    <row r="22" spans="6:27">
      <c r="F22" t="s">
        <v>439</v>
      </c>
      <c r="P22" s="2" t="s">
        <v>137</v>
      </c>
      <c r="Q22" s="10" t="s">
        <v>36</v>
      </c>
      <c r="R22" s="2" t="s">
        <v>353</v>
      </c>
      <c r="S22" s="3">
        <v>2424.3999999999996</v>
      </c>
      <c r="T22" s="11">
        <f t="shared" si="0"/>
        <v>1.8685451798871659E-2</v>
      </c>
      <c r="U22" s="1" t="s">
        <v>354</v>
      </c>
      <c r="V22" s="6"/>
      <c r="W22" s="291" t="s">
        <v>431</v>
      </c>
      <c r="X22" s="6" t="s">
        <v>356</v>
      </c>
      <c r="Y22" s="1" t="s">
        <v>357</v>
      </c>
    </row>
    <row r="23" spans="6:27">
      <c r="F23" t="s">
        <v>440</v>
      </c>
      <c r="P23" s="2" t="s">
        <v>138</v>
      </c>
      <c r="Q23" s="10" t="s">
        <v>36</v>
      </c>
      <c r="R23" s="2" t="s">
        <v>353</v>
      </c>
      <c r="S23" s="3">
        <v>1474.5050000000001</v>
      </c>
      <c r="T23" s="11">
        <f t="shared" si="0"/>
        <v>1.1364375558775475E-2</v>
      </c>
      <c r="U23" s="1" t="s">
        <v>354</v>
      </c>
      <c r="V23" s="6"/>
      <c r="W23" s="291" t="s">
        <v>431</v>
      </c>
      <c r="X23" s="6" t="s">
        <v>356</v>
      </c>
      <c r="Y23" s="1" t="s">
        <v>357</v>
      </c>
    </row>
    <row r="24" spans="6:27">
      <c r="F24" t="s">
        <v>441</v>
      </c>
      <c r="P24" s="2" t="s">
        <v>139</v>
      </c>
      <c r="Q24" s="10" t="s">
        <v>36</v>
      </c>
      <c r="R24" s="2" t="s">
        <v>353</v>
      </c>
      <c r="S24" s="3">
        <v>2181.09</v>
      </c>
      <c r="T24" s="11">
        <f t="shared" si="0"/>
        <v>1.6810201313315044E-2</v>
      </c>
      <c r="U24" s="1" t="s">
        <v>354</v>
      </c>
      <c r="V24" s="6"/>
      <c r="W24" s="291" t="s">
        <v>431</v>
      </c>
      <c r="X24" s="6" t="s">
        <v>356</v>
      </c>
      <c r="Y24" s="1" t="s">
        <v>357</v>
      </c>
    </row>
    <row r="25" spans="6:27">
      <c r="F25" t="s">
        <v>442</v>
      </c>
      <c r="P25" s="2" t="s">
        <v>140</v>
      </c>
      <c r="Q25" s="10" t="s">
        <v>36</v>
      </c>
      <c r="R25" s="2" t="s">
        <v>353</v>
      </c>
      <c r="S25" s="3">
        <v>2228.5050000000001</v>
      </c>
      <c r="T25" s="11">
        <f t="shared" si="0"/>
        <v>1.7175640472300153E-2</v>
      </c>
      <c r="U25" s="1" t="s">
        <v>354</v>
      </c>
      <c r="V25" s="6"/>
      <c r="W25" s="291" t="s">
        <v>431</v>
      </c>
      <c r="X25" s="6" t="s">
        <v>356</v>
      </c>
      <c r="Y25" s="1" t="s">
        <v>357</v>
      </c>
    </row>
    <row r="26" spans="6:27">
      <c r="F26" t="s">
        <v>443</v>
      </c>
      <c r="P26" s="2" t="s">
        <v>141</v>
      </c>
      <c r="Q26" s="10" t="s">
        <v>36</v>
      </c>
      <c r="R26" s="2" t="s">
        <v>353</v>
      </c>
      <c r="S26" s="3">
        <v>2183.1200000000003</v>
      </c>
      <c r="T26" s="11">
        <f t="shared" si="0"/>
        <v>1.6825847026543765E-2</v>
      </c>
      <c r="U26" s="1" t="s">
        <v>354</v>
      </c>
      <c r="V26" s="6"/>
      <c r="W26" s="291" t="s">
        <v>431</v>
      </c>
      <c r="X26" s="6" t="s">
        <v>356</v>
      </c>
      <c r="Y26" s="1" t="s">
        <v>357</v>
      </c>
    </row>
    <row r="27" spans="6:27">
      <c r="F27" t="s">
        <v>444</v>
      </c>
      <c r="P27" s="2" t="s">
        <v>142</v>
      </c>
      <c r="Q27" s="10" t="s">
        <v>36</v>
      </c>
      <c r="R27" s="2" t="s">
        <v>353</v>
      </c>
      <c r="S27" s="3">
        <v>2201.1000000000004</v>
      </c>
      <c r="T27" s="11">
        <f t="shared" si="0"/>
        <v>1.6964423343712433E-2</v>
      </c>
      <c r="U27" s="1" t="s">
        <v>354</v>
      </c>
      <c r="V27" s="6"/>
      <c r="W27" s="291" t="s">
        <v>431</v>
      </c>
      <c r="X27" s="6" t="s">
        <v>356</v>
      </c>
      <c r="Y27" s="1" t="s">
        <v>357</v>
      </c>
    </row>
    <row r="28" spans="6:27">
      <c r="F28" t="s">
        <v>445</v>
      </c>
      <c r="P28" s="2" t="s">
        <v>143</v>
      </c>
      <c r="Q28" s="10" t="s">
        <v>36</v>
      </c>
      <c r="R28" s="2" t="s">
        <v>353</v>
      </c>
      <c r="S28" s="3">
        <v>2181.09</v>
      </c>
      <c r="T28" s="11">
        <f t="shared" si="0"/>
        <v>1.6810201313315044E-2</v>
      </c>
      <c r="U28" s="1" t="s">
        <v>354</v>
      </c>
      <c r="V28" s="6"/>
      <c r="W28" s="291" t="s">
        <v>431</v>
      </c>
      <c r="X28" s="6" t="s">
        <v>356</v>
      </c>
      <c r="Y28" s="1" t="s">
        <v>357</v>
      </c>
    </row>
    <row r="29" spans="6:27">
      <c r="F29" t="s">
        <v>446</v>
      </c>
      <c r="P29" s="2" t="s">
        <v>144</v>
      </c>
      <c r="Q29" s="10" t="s">
        <v>36</v>
      </c>
      <c r="R29" s="2" t="s">
        <v>353</v>
      </c>
      <c r="S29" s="3">
        <v>2212.7000000000003</v>
      </c>
      <c r="T29" s="11">
        <f t="shared" si="0"/>
        <v>1.7053827419305119E-2</v>
      </c>
      <c r="U29" s="1" t="s">
        <v>354</v>
      </c>
      <c r="V29" s="6"/>
      <c r="W29" s="291" t="s">
        <v>431</v>
      </c>
      <c r="X29" s="6" t="s">
        <v>356</v>
      </c>
      <c r="Y29" s="1" t="s">
        <v>357</v>
      </c>
    </row>
    <row r="30" spans="6:27">
      <c r="F30" t="s">
        <v>447</v>
      </c>
      <c r="P30" s="2" t="s">
        <v>145</v>
      </c>
      <c r="Q30" s="292" t="s">
        <v>38</v>
      </c>
      <c r="R30" s="292" t="s">
        <v>448</v>
      </c>
      <c r="S30" s="3">
        <v>1786.4</v>
      </c>
      <c r="T30" s="11">
        <f t="shared" ref="T30:T93" si="2">S30/$B$2</f>
        <v>1.3768227641273856E-2</v>
      </c>
      <c r="U30" s="1" t="s">
        <v>354</v>
      </c>
      <c r="V30" s="2"/>
      <c r="W30" s="292" t="s">
        <v>449</v>
      </c>
      <c r="X30" s="6" t="s">
        <v>356</v>
      </c>
      <c r="Y30" s="1" t="s">
        <v>357</v>
      </c>
    </row>
    <row r="31" spans="6:27">
      <c r="F31" t="s">
        <v>450</v>
      </c>
      <c r="P31" s="2" t="s">
        <v>146</v>
      </c>
      <c r="Q31" s="292" t="s">
        <v>38</v>
      </c>
      <c r="R31" s="292" t="s">
        <v>448</v>
      </c>
      <c r="S31" s="3">
        <v>1866.15</v>
      </c>
      <c r="T31" s="11">
        <f t="shared" si="2"/>
        <v>1.4382880660973582E-2</v>
      </c>
      <c r="U31" s="1" t="s">
        <v>354</v>
      </c>
      <c r="V31" s="2"/>
      <c r="W31" s="292" t="s">
        <v>449</v>
      </c>
      <c r="X31" s="6" t="s">
        <v>356</v>
      </c>
      <c r="Y31" s="1" t="s">
        <v>357</v>
      </c>
    </row>
    <row r="32" spans="6:27">
      <c r="P32" s="2" t="s">
        <v>147</v>
      </c>
      <c r="Q32" s="292" t="s">
        <v>38</v>
      </c>
      <c r="R32" s="292" t="s">
        <v>448</v>
      </c>
      <c r="S32" s="3">
        <v>1834.25</v>
      </c>
      <c r="T32" s="11">
        <f t="shared" si="2"/>
        <v>1.4137019453093692E-2</v>
      </c>
      <c r="U32" s="1" t="s">
        <v>354</v>
      </c>
      <c r="V32" s="2"/>
      <c r="W32" s="292" t="s">
        <v>449</v>
      </c>
      <c r="X32" s="6" t="s">
        <v>356</v>
      </c>
      <c r="Y32" s="1" t="s">
        <v>357</v>
      </c>
    </row>
    <row r="33" spans="16:25">
      <c r="P33" s="2" t="s">
        <v>148</v>
      </c>
      <c r="Q33" s="292" t="s">
        <v>38</v>
      </c>
      <c r="R33" s="292" t="s">
        <v>448</v>
      </c>
      <c r="S33" s="3">
        <v>1866.1499999999999</v>
      </c>
      <c r="T33" s="11">
        <f t="shared" si="2"/>
        <v>1.438288066097358E-2</v>
      </c>
      <c r="U33" s="1" t="s">
        <v>354</v>
      </c>
      <c r="V33" s="2"/>
      <c r="W33" s="292" t="s">
        <v>449</v>
      </c>
      <c r="X33" s="6" t="s">
        <v>356</v>
      </c>
      <c r="Y33" s="1" t="s">
        <v>357</v>
      </c>
    </row>
    <row r="34" spans="16:25">
      <c r="P34" s="2" t="s">
        <v>149</v>
      </c>
      <c r="Q34" s="292" t="s">
        <v>37</v>
      </c>
      <c r="R34" s="292" t="s">
        <v>451</v>
      </c>
      <c r="S34" s="3">
        <v>1834.25</v>
      </c>
      <c r="T34" s="11">
        <f t="shared" si="2"/>
        <v>1.4137019453093692E-2</v>
      </c>
      <c r="U34" s="1" t="s">
        <v>354</v>
      </c>
      <c r="V34" s="2"/>
      <c r="W34" s="292" t="s">
        <v>449</v>
      </c>
      <c r="X34" s="6" t="s">
        <v>356</v>
      </c>
      <c r="Y34" s="1" t="s">
        <v>357</v>
      </c>
    </row>
    <row r="35" spans="16:25">
      <c r="P35" s="2" t="s">
        <v>150</v>
      </c>
      <c r="Q35" s="292" t="s">
        <v>37</v>
      </c>
      <c r="R35" s="292" t="s">
        <v>451</v>
      </c>
      <c r="S35" s="3">
        <v>1898.0499999999997</v>
      </c>
      <c r="T35" s="11">
        <f t="shared" si="2"/>
        <v>1.4628741868853469E-2</v>
      </c>
      <c r="U35" s="1" t="s">
        <v>354</v>
      </c>
      <c r="V35" s="2"/>
      <c r="W35" s="292" t="s">
        <v>449</v>
      </c>
      <c r="X35" s="6" t="s">
        <v>356</v>
      </c>
      <c r="Y35" s="1" t="s">
        <v>357</v>
      </c>
    </row>
    <row r="36" spans="16:25">
      <c r="P36" s="2" t="s">
        <v>151</v>
      </c>
      <c r="Q36" s="292" t="s">
        <v>37</v>
      </c>
      <c r="R36" s="292" t="s">
        <v>451</v>
      </c>
      <c r="S36" s="3">
        <v>1882.1</v>
      </c>
      <c r="T36" s="11">
        <f t="shared" si="2"/>
        <v>1.4505811264913526E-2</v>
      </c>
      <c r="U36" s="1" t="s">
        <v>354</v>
      </c>
      <c r="V36" s="2"/>
      <c r="W36" s="292" t="s">
        <v>449</v>
      </c>
      <c r="X36" s="6" t="s">
        <v>356</v>
      </c>
      <c r="Y36" s="1" t="s">
        <v>357</v>
      </c>
    </row>
    <row r="37" spans="16:25">
      <c r="P37" s="2" t="s">
        <v>152</v>
      </c>
      <c r="Q37" s="292" t="s">
        <v>37</v>
      </c>
      <c r="R37" s="292" t="s">
        <v>451</v>
      </c>
      <c r="S37" s="3">
        <v>1850.2</v>
      </c>
      <c r="T37" s="11">
        <f t="shared" si="2"/>
        <v>1.4259950057033637E-2</v>
      </c>
      <c r="U37" s="1" t="s">
        <v>354</v>
      </c>
      <c r="V37" s="2"/>
      <c r="W37" s="292" t="s">
        <v>449</v>
      </c>
      <c r="X37" s="6" t="s">
        <v>356</v>
      </c>
      <c r="Y37" s="1" t="s">
        <v>357</v>
      </c>
    </row>
    <row r="38" spans="16:25">
      <c r="P38" s="2" t="s">
        <v>153</v>
      </c>
      <c r="Q38" s="292" t="s">
        <v>39</v>
      </c>
      <c r="R38" s="292" t="s">
        <v>452</v>
      </c>
      <c r="S38" s="3">
        <v>1485.67</v>
      </c>
      <c r="T38" s="11">
        <f t="shared" si="2"/>
        <v>1.1450426981533436E-2</v>
      </c>
      <c r="U38" s="1" t="s">
        <v>354</v>
      </c>
      <c r="V38" s="2"/>
      <c r="W38" s="292" t="s">
        <v>449</v>
      </c>
      <c r="X38" s="6" t="s">
        <v>356</v>
      </c>
      <c r="Y38" s="1" t="s">
        <v>357</v>
      </c>
    </row>
    <row r="39" spans="16:25">
      <c r="P39" s="292" t="s">
        <v>154</v>
      </c>
      <c r="Q39" s="292" t="s">
        <v>39</v>
      </c>
      <c r="R39" s="292" t="s">
        <v>452</v>
      </c>
      <c r="S39" s="3">
        <v>1485.67</v>
      </c>
      <c r="T39" s="11">
        <f t="shared" si="2"/>
        <v>1.1450426981533436E-2</v>
      </c>
      <c r="U39" s="1" t="s">
        <v>354</v>
      </c>
      <c r="V39" s="2"/>
      <c r="W39" s="292" t="s">
        <v>449</v>
      </c>
      <c r="X39" s="6" t="s">
        <v>356</v>
      </c>
      <c r="Y39" s="1" t="s">
        <v>357</v>
      </c>
    </row>
    <row r="40" spans="16:25">
      <c r="P40" s="292" t="s">
        <v>155</v>
      </c>
      <c r="Q40" s="292" t="s">
        <v>40</v>
      </c>
      <c r="R40" s="292" t="s">
        <v>453</v>
      </c>
      <c r="S40" s="3">
        <v>1485.67</v>
      </c>
      <c r="T40" s="11">
        <f t="shared" si="2"/>
        <v>1.1450426981533436E-2</v>
      </c>
      <c r="U40" s="1" t="s">
        <v>354</v>
      </c>
      <c r="V40" s="2"/>
      <c r="W40" s="292" t="s">
        <v>449</v>
      </c>
      <c r="X40" s="6" t="s">
        <v>356</v>
      </c>
      <c r="Y40" s="1" t="s">
        <v>357</v>
      </c>
    </row>
    <row r="41" spans="16:25">
      <c r="P41" s="292" t="s">
        <v>156</v>
      </c>
      <c r="Q41" s="292" t="s">
        <v>40</v>
      </c>
      <c r="R41" s="292" t="s">
        <v>453</v>
      </c>
      <c r="S41" s="3">
        <v>1485.67</v>
      </c>
      <c r="T41" s="11">
        <f t="shared" si="2"/>
        <v>1.1450426981533436E-2</v>
      </c>
      <c r="U41" s="1" t="s">
        <v>354</v>
      </c>
      <c r="V41" s="2"/>
      <c r="W41" s="292" t="s">
        <v>449</v>
      </c>
      <c r="X41" s="6" t="s">
        <v>356</v>
      </c>
      <c r="Y41" s="1" t="s">
        <v>357</v>
      </c>
    </row>
    <row r="42" spans="16:25">
      <c r="P42" s="292" t="s">
        <v>157</v>
      </c>
      <c r="Q42" s="292" t="s">
        <v>40</v>
      </c>
      <c r="R42" s="292" t="s">
        <v>453</v>
      </c>
      <c r="S42" s="3">
        <v>1519.6000000000001</v>
      </c>
      <c r="T42" s="11">
        <f t="shared" si="2"/>
        <v>1.1711933902642047E-2</v>
      </c>
      <c r="U42" s="1" t="s">
        <v>354</v>
      </c>
      <c r="V42" s="2"/>
      <c r="W42" s="292" t="s">
        <v>449</v>
      </c>
      <c r="X42" s="6" t="s">
        <v>356</v>
      </c>
      <c r="Y42" s="1" t="s">
        <v>357</v>
      </c>
    </row>
    <row r="43" spans="16:25">
      <c r="P43" s="292" t="s">
        <v>158</v>
      </c>
      <c r="Q43" s="292" t="s">
        <v>40</v>
      </c>
      <c r="R43" s="292" t="s">
        <v>453</v>
      </c>
      <c r="S43" s="3">
        <v>1501.4749999999999</v>
      </c>
      <c r="T43" s="11">
        <f t="shared" si="2"/>
        <v>1.1572240034528471E-2</v>
      </c>
      <c r="U43" s="1" t="s">
        <v>354</v>
      </c>
      <c r="V43" s="2"/>
      <c r="W43" s="292" t="s">
        <v>449</v>
      </c>
      <c r="X43" s="6" t="s">
        <v>356</v>
      </c>
      <c r="Y43" s="1" t="s">
        <v>357</v>
      </c>
    </row>
    <row r="44" spans="16:25">
      <c r="P44" s="2" t="s">
        <v>159</v>
      </c>
      <c r="Q44" s="292" t="s">
        <v>40</v>
      </c>
      <c r="R44" s="292" t="s">
        <v>453</v>
      </c>
      <c r="S44" s="3">
        <v>2133.6750000000002</v>
      </c>
      <c r="T44" s="11">
        <f t="shared" si="2"/>
        <v>1.6444762154329936E-2</v>
      </c>
      <c r="U44" s="1" t="s">
        <v>354</v>
      </c>
      <c r="V44" s="2"/>
      <c r="W44" s="292" t="s">
        <v>449</v>
      </c>
      <c r="X44" s="6" t="s">
        <v>356</v>
      </c>
      <c r="Y44" s="1" t="s">
        <v>357</v>
      </c>
    </row>
    <row r="45" spans="16:25">
      <c r="P45" s="2" t="s">
        <v>160</v>
      </c>
      <c r="Q45" s="292" t="s">
        <v>40</v>
      </c>
      <c r="R45" s="292" t="s">
        <v>453</v>
      </c>
      <c r="S45" s="3">
        <v>2354.9450000000006</v>
      </c>
      <c r="T45" s="11">
        <f t="shared" si="2"/>
        <v>1.8150144896260451E-2</v>
      </c>
      <c r="U45" s="1" t="s">
        <v>354</v>
      </c>
      <c r="V45" s="2"/>
      <c r="W45" s="292" t="s">
        <v>449</v>
      </c>
      <c r="X45" s="6" t="s">
        <v>356</v>
      </c>
      <c r="Y45" s="1" t="s">
        <v>357</v>
      </c>
    </row>
    <row r="46" spans="16:25">
      <c r="P46" s="2" t="s">
        <v>161</v>
      </c>
      <c r="Q46" s="292" t="s">
        <v>40</v>
      </c>
      <c r="R46" s="292" t="s">
        <v>453</v>
      </c>
      <c r="S46" s="3">
        <v>1722.7450000000001</v>
      </c>
      <c r="T46" s="11">
        <f t="shared" si="2"/>
        <v>1.3277622776458985E-2</v>
      </c>
      <c r="U46" s="1" t="s">
        <v>354</v>
      </c>
      <c r="V46" s="2"/>
      <c r="W46" s="292" t="s">
        <v>449</v>
      </c>
      <c r="X46" s="6" t="s">
        <v>356</v>
      </c>
      <c r="Y46" s="1" t="s">
        <v>357</v>
      </c>
    </row>
    <row r="47" spans="16:25">
      <c r="P47" s="2" t="s">
        <v>162</v>
      </c>
      <c r="Q47" s="292" t="s">
        <v>40</v>
      </c>
      <c r="R47" s="292" t="s">
        <v>453</v>
      </c>
      <c r="S47" s="3">
        <v>2117.8700000000003</v>
      </c>
      <c r="T47" s="11">
        <f t="shared" si="2"/>
        <v>1.6322949101334899E-2</v>
      </c>
      <c r="U47" s="1" t="s">
        <v>354</v>
      </c>
      <c r="V47" s="2"/>
      <c r="W47" s="292" t="s">
        <v>449</v>
      </c>
      <c r="X47" s="6" t="s">
        <v>356</v>
      </c>
      <c r="Y47" s="1" t="s">
        <v>357</v>
      </c>
    </row>
    <row r="48" spans="16:25">
      <c r="P48" s="2" t="s">
        <v>454</v>
      </c>
      <c r="Q48" s="10" t="s">
        <v>36</v>
      </c>
      <c r="R48" s="2" t="s">
        <v>353</v>
      </c>
      <c r="S48" s="3">
        <v>6211.3649999999998</v>
      </c>
      <c r="T48" s="11">
        <f t="shared" si="2"/>
        <v>4.7872529827049363E-2</v>
      </c>
      <c r="U48" s="1" t="s">
        <v>354</v>
      </c>
      <c r="V48" s="2"/>
      <c r="W48" s="292" t="s">
        <v>355</v>
      </c>
      <c r="X48" s="6" t="s">
        <v>356</v>
      </c>
      <c r="Y48" s="1" t="s">
        <v>357</v>
      </c>
    </row>
    <row r="49" spans="16:25">
      <c r="P49" s="2" t="s">
        <v>455</v>
      </c>
      <c r="Q49" s="10" t="s">
        <v>36</v>
      </c>
      <c r="R49" s="2" t="s">
        <v>353</v>
      </c>
      <c r="S49" s="3">
        <v>6416.5399999999981</v>
      </c>
      <c r="T49" s="11">
        <f t="shared" si="2"/>
        <v>4.9453864414095008E-2</v>
      </c>
      <c r="U49" s="1" t="s">
        <v>354</v>
      </c>
      <c r="V49" s="2"/>
      <c r="W49" s="292" t="s">
        <v>355</v>
      </c>
      <c r="X49" s="6" t="s">
        <v>356</v>
      </c>
      <c r="Y49" s="1" t="s">
        <v>357</v>
      </c>
    </row>
    <row r="50" spans="16:25">
      <c r="P50" s="2" t="s">
        <v>456</v>
      </c>
      <c r="Q50" s="292" t="s">
        <v>36</v>
      </c>
      <c r="R50" s="2" t="s">
        <v>353</v>
      </c>
      <c r="S50" s="3">
        <v>6295.1750000000002</v>
      </c>
      <c r="T50" s="11">
        <f t="shared" si="2"/>
        <v>4.8518474273206533E-2</v>
      </c>
      <c r="U50" s="1" t="s">
        <v>354</v>
      </c>
      <c r="V50" s="2"/>
      <c r="W50" s="292" t="s">
        <v>355</v>
      </c>
      <c r="X50" s="6" t="s">
        <v>356</v>
      </c>
      <c r="Y50" s="1" t="s">
        <v>357</v>
      </c>
    </row>
    <row r="51" spans="16:25">
      <c r="P51" s="2" t="s">
        <v>457</v>
      </c>
      <c r="Q51" s="292" t="s">
        <v>36</v>
      </c>
      <c r="R51" s="2" t="s">
        <v>353</v>
      </c>
      <c r="S51" s="3">
        <v>6454.2400000000007</v>
      </c>
      <c r="T51" s="11">
        <f t="shared" si="2"/>
        <v>4.9744427659771259E-2</v>
      </c>
      <c r="U51" s="1" t="s">
        <v>354</v>
      </c>
      <c r="V51" s="2"/>
      <c r="W51" s="292" t="s">
        <v>355</v>
      </c>
      <c r="X51" s="6" t="s">
        <v>356</v>
      </c>
      <c r="Y51" s="1" t="s">
        <v>357</v>
      </c>
    </row>
    <row r="52" spans="16:25">
      <c r="P52" s="2" t="s">
        <v>458</v>
      </c>
      <c r="Q52" s="10" t="s">
        <v>36</v>
      </c>
      <c r="R52" s="2" t="s">
        <v>353</v>
      </c>
      <c r="S52" s="3">
        <v>4341.880000000001</v>
      </c>
      <c r="T52" s="11">
        <f t="shared" si="2"/>
        <v>3.3463945494342895E-2</v>
      </c>
      <c r="U52" s="1" t="s">
        <v>354</v>
      </c>
      <c r="V52" s="2"/>
      <c r="W52" s="292" t="s">
        <v>431</v>
      </c>
      <c r="X52" s="6" t="s">
        <v>356</v>
      </c>
      <c r="Y52" s="1" t="s">
        <v>357</v>
      </c>
    </row>
    <row r="53" spans="16:25">
      <c r="P53" s="2" t="s">
        <v>459</v>
      </c>
      <c r="Q53" s="10" t="s">
        <v>36</v>
      </c>
      <c r="R53" s="2" t="s">
        <v>353</v>
      </c>
      <c r="S53" s="3">
        <v>4666.68</v>
      </c>
      <c r="T53" s="11">
        <f t="shared" si="2"/>
        <v>3.5967259610938135E-2</v>
      </c>
      <c r="U53" s="1" t="s">
        <v>354</v>
      </c>
      <c r="V53" s="2"/>
      <c r="W53" s="292" t="s">
        <v>431</v>
      </c>
      <c r="X53" s="6" t="s">
        <v>356</v>
      </c>
      <c r="Y53" s="1" t="s">
        <v>357</v>
      </c>
    </row>
    <row r="54" spans="16:25">
      <c r="P54" s="2" t="s">
        <v>460</v>
      </c>
      <c r="Q54" s="10" t="s">
        <v>36</v>
      </c>
      <c r="R54" s="2" t="s">
        <v>353</v>
      </c>
      <c r="S54" s="3">
        <v>3898.9049999999988</v>
      </c>
      <c r="T54" s="11">
        <f t="shared" si="2"/>
        <v>3.0049827357647125E-2</v>
      </c>
      <c r="U54" s="1" t="s">
        <v>354</v>
      </c>
      <c r="V54" s="2"/>
      <c r="W54" s="292" t="s">
        <v>431</v>
      </c>
      <c r="X54" s="6" t="s">
        <v>356</v>
      </c>
      <c r="Y54" s="1" t="s">
        <v>357</v>
      </c>
    </row>
    <row r="55" spans="16:25">
      <c r="P55" s="2" t="s">
        <v>461</v>
      </c>
      <c r="Q55" s="10" t="s">
        <v>36</v>
      </c>
      <c r="R55" s="2" t="s">
        <v>353</v>
      </c>
      <c r="S55" s="3">
        <v>4409.5950000000012</v>
      </c>
      <c r="T55" s="11">
        <f t="shared" si="2"/>
        <v>3.3985841785615208E-2</v>
      </c>
      <c r="U55" s="1" t="s">
        <v>354</v>
      </c>
      <c r="V55" s="2"/>
      <c r="W55" s="292" t="s">
        <v>431</v>
      </c>
      <c r="X55" s="6" t="s">
        <v>356</v>
      </c>
      <c r="Y55" s="1" t="s">
        <v>357</v>
      </c>
    </row>
    <row r="56" spans="16:25">
      <c r="P56" s="2" t="s">
        <v>462</v>
      </c>
      <c r="Q56" s="10" t="s">
        <v>36</v>
      </c>
      <c r="R56" s="2" t="s">
        <v>353</v>
      </c>
      <c r="S56" s="3">
        <v>4384.22</v>
      </c>
      <c r="T56" s="11">
        <f t="shared" si="2"/>
        <v>3.3790270370256198E-2</v>
      </c>
      <c r="U56" s="1" t="s">
        <v>354</v>
      </c>
      <c r="V56" s="2"/>
      <c r="W56" s="292" t="s">
        <v>431</v>
      </c>
      <c r="X56" s="6" t="s">
        <v>356</v>
      </c>
      <c r="Y56" s="1" t="s">
        <v>357</v>
      </c>
    </row>
    <row r="57" spans="16:25">
      <c r="P57" s="2" t="s">
        <v>463</v>
      </c>
      <c r="Q57" s="10" t="s">
        <v>36</v>
      </c>
      <c r="R57" s="2" t="s">
        <v>353</v>
      </c>
      <c r="S57" s="3">
        <v>4393.7900000000009</v>
      </c>
      <c r="T57" s="11">
        <f t="shared" si="2"/>
        <v>3.3864028732620163E-2</v>
      </c>
      <c r="U57" s="1" t="s">
        <v>354</v>
      </c>
      <c r="V57" s="2"/>
      <c r="W57" s="292" t="s">
        <v>431</v>
      </c>
      <c r="X57" s="6" t="s">
        <v>356</v>
      </c>
      <c r="Y57" s="1" t="s">
        <v>357</v>
      </c>
    </row>
    <row r="58" spans="16:25">
      <c r="P58" s="2" t="s">
        <v>464</v>
      </c>
      <c r="Q58" s="292" t="s">
        <v>38</v>
      </c>
      <c r="R58" s="292" t="s">
        <v>448</v>
      </c>
      <c r="S58" s="3">
        <v>3652.55</v>
      </c>
      <c r="T58" s="11">
        <f t="shared" si="2"/>
        <v>2.8151108302247436E-2</v>
      </c>
      <c r="U58" s="1" t="s">
        <v>354</v>
      </c>
      <c r="V58" s="2"/>
      <c r="W58" s="292" t="s">
        <v>449</v>
      </c>
      <c r="X58" s="6" t="s">
        <v>356</v>
      </c>
      <c r="Y58" s="1" t="s">
        <v>357</v>
      </c>
    </row>
    <row r="59" spans="16:25">
      <c r="P59" s="2" t="s">
        <v>465</v>
      </c>
      <c r="Q59" s="292" t="s">
        <v>38</v>
      </c>
      <c r="R59" s="292" t="s">
        <v>448</v>
      </c>
      <c r="S59" s="3">
        <v>3700.4</v>
      </c>
      <c r="T59" s="11">
        <f t="shared" si="2"/>
        <v>2.8519900114067274E-2</v>
      </c>
      <c r="U59" s="1" t="s">
        <v>354</v>
      </c>
      <c r="V59" s="2"/>
      <c r="W59" s="292" t="s">
        <v>449</v>
      </c>
      <c r="X59" s="6" t="s">
        <v>356</v>
      </c>
      <c r="Y59" s="1" t="s">
        <v>357</v>
      </c>
    </row>
    <row r="60" spans="16:25">
      <c r="P60" s="2" t="s">
        <v>466</v>
      </c>
      <c r="Q60" s="292" t="s">
        <v>37</v>
      </c>
      <c r="R60" s="292" t="s">
        <v>451</v>
      </c>
      <c r="S60" s="3">
        <v>3732.3</v>
      </c>
      <c r="T60" s="11">
        <f t="shared" si="2"/>
        <v>2.8765761321947164E-2</v>
      </c>
      <c r="U60" s="1" t="s">
        <v>354</v>
      </c>
      <c r="V60" s="2"/>
      <c r="W60" s="292" t="s">
        <v>449</v>
      </c>
      <c r="X60" s="6" t="s">
        <v>356</v>
      </c>
      <c r="Y60" s="1" t="s">
        <v>357</v>
      </c>
    </row>
    <row r="61" spans="16:25">
      <c r="P61" s="2" t="s">
        <v>467</v>
      </c>
      <c r="Q61" s="292" t="s">
        <v>37</v>
      </c>
      <c r="R61" s="292" t="s">
        <v>451</v>
      </c>
      <c r="S61" s="3">
        <v>3732.3000000000006</v>
      </c>
      <c r="T61" s="11">
        <f t="shared" si="2"/>
        <v>2.8765761321947168E-2</v>
      </c>
      <c r="U61" s="1" t="s">
        <v>354</v>
      </c>
      <c r="V61" s="2"/>
      <c r="W61" s="292" t="s">
        <v>449</v>
      </c>
      <c r="X61" s="6" t="s">
        <v>356</v>
      </c>
      <c r="Y61" s="1" t="s">
        <v>357</v>
      </c>
    </row>
    <row r="62" spans="16:25">
      <c r="P62" s="2" t="s">
        <v>468</v>
      </c>
      <c r="Q62" s="292" t="s">
        <v>39</v>
      </c>
      <c r="R62" s="292" t="s">
        <v>452</v>
      </c>
      <c r="S62" s="3">
        <v>1485.67</v>
      </c>
      <c r="T62" s="11">
        <f t="shared" si="2"/>
        <v>1.1450426981533436E-2</v>
      </c>
      <c r="U62" s="1" t="s">
        <v>354</v>
      </c>
      <c r="V62" s="2"/>
      <c r="W62" s="292" t="s">
        <v>449</v>
      </c>
      <c r="X62" s="6" t="s">
        <v>356</v>
      </c>
      <c r="Y62" s="1" t="s">
        <v>357</v>
      </c>
    </row>
    <row r="63" spans="16:25">
      <c r="P63" s="2" t="s">
        <v>469</v>
      </c>
      <c r="Q63" s="292" t="s">
        <v>39</v>
      </c>
      <c r="R63" s="292" t="s">
        <v>452</v>
      </c>
      <c r="S63" s="3">
        <v>1485.67</v>
      </c>
      <c r="T63" s="11">
        <f t="shared" si="2"/>
        <v>1.1450426981533436E-2</v>
      </c>
      <c r="U63" s="1" t="s">
        <v>354</v>
      </c>
      <c r="V63" s="2"/>
      <c r="W63" s="292" t="s">
        <v>449</v>
      </c>
      <c r="X63" s="6" t="s">
        <v>356</v>
      </c>
      <c r="Y63" s="1" t="s">
        <v>357</v>
      </c>
    </row>
    <row r="64" spans="16:25">
      <c r="P64" s="2" t="s">
        <v>470</v>
      </c>
      <c r="Q64" s="292" t="s">
        <v>40</v>
      </c>
      <c r="R64" s="292" t="s">
        <v>453</v>
      </c>
      <c r="S64" s="3">
        <v>5992.4150000000009</v>
      </c>
      <c r="T64" s="11">
        <f t="shared" si="2"/>
        <v>4.6185027900237395E-2</v>
      </c>
      <c r="U64" s="1" t="s">
        <v>354</v>
      </c>
      <c r="V64" s="2"/>
      <c r="W64" s="292" t="s">
        <v>449</v>
      </c>
      <c r="X64" s="6" t="s">
        <v>356</v>
      </c>
      <c r="Y64" s="1" t="s">
        <v>357</v>
      </c>
    </row>
    <row r="65" spans="16:25">
      <c r="P65" s="2" t="s">
        <v>471</v>
      </c>
      <c r="Q65" s="292" t="s">
        <v>40</v>
      </c>
      <c r="R65" s="292" t="s">
        <v>453</v>
      </c>
      <c r="S65" s="3">
        <v>4488.6200000000008</v>
      </c>
      <c r="T65" s="11">
        <f t="shared" si="2"/>
        <v>3.4594907050590387E-2</v>
      </c>
      <c r="U65" s="1" t="s">
        <v>354</v>
      </c>
      <c r="V65" s="2"/>
      <c r="W65" s="292" t="s">
        <v>449</v>
      </c>
      <c r="X65" s="6" t="s">
        <v>356</v>
      </c>
      <c r="Y65" s="1" t="s">
        <v>357</v>
      </c>
    </row>
    <row r="66" spans="16:25">
      <c r="P66" s="2" t="s">
        <v>472</v>
      </c>
      <c r="Q66" s="292" t="s">
        <v>40</v>
      </c>
      <c r="R66" s="292" t="s">
        <v>453</v>
      </c>
      <c r="S66" s="3">
        <v>3840.6150000000007</v>
      </c>
      <c r="T66" s="11">
        <f t="shared" si="2"/>
        <v>2.9600571877793885E-2</v>
      </c>
      <c r="U66" s="1" t="s">
        <v>354</v>
      </c>
      <c r="V66" s="2"/>
      <c r="W66" s="292" t="s">
        <v>449</v>
      </c>
      <c r="X66" s="6" t="s">
        <v>356</v>
      </c>
      <c r="Y66" s="1" t="s">
        <v>357</v>
      </c>
    </row>
    <row r="67" spans="16:25">
      <c r="P67" s="2" t="s">
        <v>473</v>
      </c>
      <c r="Q67" s="10" t="s">
        <v>36</v>
      </c>
      <c r="R67" s="2" t="s">
        <v>353</v>
      </c>
      <c r="S67" s="3">
        <v>252.88</v>
      </c>
      <c r="T67" s="11">
        <f t="shared" si="2"/>
        <v>1.9490088479205848E-3</v>
      </c>
      <c r="U67" s="1" t="s">
        <v>354</v>
      </c>
      <c r="V67" s="2"/>
      <c r="W67" s="2"/>
      <c r="X67" s="6" t="s">
        <v>356</v>
      </c>
      <c r="Y67" s="1" t="s">
        <v>357</v>
      </c>
    </row>
    <row r="68" spans="16:25">
      <c r="P68" s="2" t="s">
        <v>474</v>
      </c>
      <c r="Q68" s="10" t="s">
        <v>36</v>
      </c>
      <c r="R68" s="2" t="s">
        <v>353</v>
      </c>
      <c r="S68" s="3">
        <v>237.07499999999999</v>
      </c>
      <c r="T68" s="11">
        <f t="shared" si="2"/>
        <v>1.8271957949255481E-3</v>
      </c>
      <c r="U68" s="1" t="s">
        <v>354</v>
      </c>
      <c r="V68" s="2"/>
      <c r="W68" s="2"/>
      <c r="X68" s="6" t="s">
        <v>356</v>
      </c>
      <c r="Y68" s="1" t="s">
        <v>357</v>
      </c>
    </row>
    <row r="69" spans="16:25">
      <c r="P69" s="2" t="s">
        <v>475</v>
      </c>
      <c r="Q69" s="10" t="s">
        <v>36</v>
      </c>
      <c r="R69" s="2" t="s">
        <v>353</v>
      </c>
      <c r="S69" s="3">
        <v>252.88</v>
      </c>
      <c r="T69" s="11">
        <f t="shared" si="2"/>
        <v>1.9490088479205848E-3</v>
      </c>
      <c r="U69" s="1" t="s">
        <v>354</v>
      </c>
      <c r="V69" s="2"/>
      <c r="W69" s="2"/>
      <c r="X69" s="6" t="s">
        <v>356</v>
      </c>
      <c r="Y69" s="1" t="s">
        <v>357</v>
      </c>
    </row>
    <row r="70" spans="16:25">
      <c r="P70" s="2" t="s">
        <v>476</v>
      </c>
      <c r="Q70" s="10" t="s">
        <v>36</v>
      </c>
      <c r="R70" s="2" t="s">
        <v>353</v>
      </c>
      <c r="S70" s="3">
        <v>284.49</v>
      </c>
      <c r="T70" s="11">
        <f t="shared" si="2"/>
        <v>2.1926349539106581E-3</v>
      </c>
      <c r="U70" s="1" t="s">
        <v>354</v>
      </c>
      <c r="V70" s="2"/>
      <c r="W70" s="2"/>
      <c r="X70" s="6" t="s">
        <v>356</v>
      </c>
      <c r="Y70" s="1" t="s">
        <v>357</v>
      </c>
    </row>
    <row r="71" spans="16:25">
      <c r="P71" s="2" t="s">
        <v>477</v>
      </c>
      <c r="Q71" s="10" t="s">
        <v>36</v>
      </c>
      <c r="R71" s="2" t="s">
        <v>353</v>
      </c>
      <c r="S71" s="3">
        <v>284.49</v>
      </c>
      <c r="T71" s="11">
        <f t="shared" si="2"/>
        <v>2.1926349539106581E-3</v>
      </c>
      <c r="U71" s="1" t="s">
        <v>354</v>
      </c>
      <c r="V71" s="2"/>
      <c r="W71" s="2"/>
      <c r="X71" s="6" t="s">
        <v>356</v>
      </c>
      <c r="Y71" s="1" t="s">
        <v>357</v>
      </c>
    </row>
    <row r="72" spans="16:25">
      <c r="P72" s="2" t="s">
        <v>478</v>
      </c>
      <c r="Q72" s="10" t="s">
        <v>36</v>
      </c>
      <c r="R72" s="2" t="s">
        <v>353</v>
      </c>
      <c r="S72" s="3">
        <v>284.49</v>
      </c>
      <c r="T72" s="11">
        <f t="shared" si="2"/>
        <v>2.1926349539106581E-3</v>
      </c>
      <c r="U72" s="1" t="s">
        <v>354</v>
      </c>
      <c r="V72" s="2"/>
      <c r="W72" s="2"/>
      <c r="X72" s="6" t="s">
        <v>356</v>
      </c>
      <c r="Y72" s="1" t="s">
        <v>357</v>
      </c>
    </row>
    <row r="73" spans="16:25">
      <c r="P73" s="2" t="s">
        <v>479</v>
      </c>
      <c r="Q73" s="10" t="s">
        <v>36</v>
      </c>
      <c r="R73" s="2" t="s">
        <v>353</v>
      </c>
      <c r="S73" s="3">
        <v>268.685</v>
      </c>
      <c r="T73" s="11">
        <f t="shared" si="2"/>
        <v>2.0708219009156212E-3</v>
      </c>
      <c r="U73" s="1" t="s">
        <v>354</v>
      </c>
      <c r="V73" s="2"/>
      <c r="W73" s="2"/>
      <c r="X73" s="6" t="s">
        <v>356</v>
      </c>
      <c r="Y73" s="1" t="s">
        <v>357</v>
      </c>
    </row>
    <row r="74" spans="16:25">
      <c r="P74" s="2" t="s">
        <v>480</v>
      </c>
      <c r="Q74" s="10" t="s">
        <v>36</v>
      </c>
      <c r="R74" s="2" t="s">
        <v>353</v>
      </c>
      <c r="S74" s="3">
        <v>284.49</v>
      </c>
      <c r="T74" s="11">
        <f t="shared" si="2"/>
        <v>2.1926349539106581E-3</v>
      </c>
      <c r="U74" s="1" t="s">
        <v>354</v>
      </c>
      <c r="V74" s="2"/>
      <c r="W74" s="2"/>
      <c r="X74" s="6" t="s">
        <v>356</v>
      </c>
      <c r="Y74" s="1" t="s">
        <v>357</v>
      </c>
    </row>
    <row r="75" spans="16:25">
      <c r="P75" s="2" t="s">
        <v>481</v>
      </c>
      <c r="Q75" s="10" t="s">
        <v>36</v>
      </c>
      <c r="R75" s="2" t="s">
        <v>353</v>
      </c>
      <c r="S75" s="3">
        <v>252.88</v>
      </c>
      <c r="T75" s="11">
        <f t="shared" si="2"/>
        <v>1.9490088479205848E-3</v>
      </c>
      <c r="U75" s="1" t="s">
        <v>354</v>
      </c>
      <c r="V75" s="2"/>
      <c r="W75" s="2"/>
      <c r="X75" s="6" t="s">
        <v>356</v>
      </c>
      <c r="Y75" s="1" t="s">
        <v>357</v>
      </c>
    </row>
    <row r="76" spans="16:25">
      <c r="P76" s="2" t="s">
        <v>482</v>
      </c>
      <c r="Q76" s="10" t="s">
        <v>36</v>
      </c>
      <c r="R76" s="2" t="s">
        <v>353</v>
      </c>
      <c r="S76" s="3">
        <v>252.88</v>
      </c>
      <c r="T76" s="11">
        <f t="shared" si="2"/>
        <v>1.9490088479205848E-3</v>
      </c>
      <c r="U76" s="1" t="s">
        <v>354</v>
      </c>
      <c r="V76" s="2"/>
      <c r="W76" s="2"/>
      <c r="X76" s="6" t="s">
        <v>356</v>
      </c>
      <c r="Y76" s="1" t="s">
        <v>357</v>
      </c>
    </row>
    <row r="77" spans="16:25">
      <c r="P77" s="2" t="s">
        <v>483</v>
      </c>
      <c r="Q77" s="10" t="s">
        <v>36</v>
      </c>
      <c r="R77" s="2" t="s">
        <v>353</v>
      </c>
      <c r="S77" s="3">
        <v>252.88</v>
      </c>
      <c r="T77" s="11">
        <f t="shared" si="2"/>
        <v>1.9490088479205848E-3</v>
      </c>
      <c r="U77" s="1" t="s">
        <v>354</v>
      </c>
      <c r="V77" s="2"/>
      <c r="W77" s="2"/>
      <c r="X77" s="6" t="s">
        <v>356</v>
      </c>
      <c r="Y77" s="1" t="s">
        <v>357</v>
      </c>
    </row>
    <row r="78" spans="16:25">
      <c r="P78" s="2" t="s">
        <v>484</v>
      </c>
      <c r="Q78" s="10" t="s">
        <v>36</v>
      </c>
      <c r="R78" s="2" t="s">
        <v>353</v>
      </c>
      <c r="S78" s="3">
        <v>284.49</v>
      </c>
      <c r="T78" s="11">
        <f t="shared" si="2"/>
        <v>2.1926349539106581E-3</v>
      </c>
      <c r="U78" s="1" t="s">
        <v>354</v>
      </c>
      <c r="V78" s="2"/>
      <c r="W78" s="2"/>
      <c r="X78" s="6" t="s">
        <v>356</v>
      </c>
      <c r="Y78" s="1" t="s">
        <v>357</v>
      </c>
    </row>
    <row r="79" spans="16:25">
      <c r="P79" s="2" t="s">
        <v>485</v>
      </c>
      <c r="Q79" s="10" t="s">
        <v>36</v>
      </c>
      <c r="R79" s="2" t="s">
        <v>353</v>
      </c>
      <c r="S79" s="3">
        <v>284.49</v>
      </c>
      <c r="T79" s="11">
        <f t="shared" si="2"/>
        <v>2.1926349539106581E-3</v>
      </c>
      <c r="U79" s="1" t="s">
        <v>354</v>
      </c>
      <c r="V79" s="2"/>
      <c r="W79" s="2"/>
      <c r="X79" s="6" t="s">
        <v>356</v>
      </c>
      <c r="Y79" s="1" t="s">
        <v>357</v>
      </c>
    </row>
    <row r="80" spans="16:25">
      <c r="P80" s="2" t="s">
        <v>486</v>
      </c>
      <c r="Q80" s="10" t="s">
        <v>36</v>
      </c>
      <c r="R80" s="2" t="s">
        <v>353</v>
      </c>
      <c r="S80" s="3">
        <v>284.49</v>
      </c>
      <c r="T80" s="11">
        <f t="shared" si="2"/>
        <v>2.1926349539106581E-3</v>
      </c>
      <c r="U80" s="1" t="s">
        <v>354</v>
      </c>
      <c r="V80" s="2"/>
      <c r="W80" s="2"/>
      <c r="X80" s="6" t="s">
        <v>356</v>
      </c>
      <c r="Y80" s="1" t="s">
        <v>357</v>
      </c>
    </row>
    <row r="81" spans="16:25">
      <c r="P81" s="2" t="s">
        <v>487</v>
      </c>
      <c r="Q81" s="10" t="s">
        <v>36</v>
      </c>
      <c r="R81" s="2" t="s">
        <v>353</v>
      </c>
      <c r="S81" s="3">
        <v>268.685</v>
      </c>
      <c r="T81" s="11">
        <f t="shared" si="2"/>
        <v>2.0708219009156212E-3</v>
      </c>
      <c r="U81" s="1" t="s">
        <v>354</v>
      </c>
      <c r="V81" s="2"/>
      <c r="W81" s="2"/>
      <c r="X81" s="6" t="s">
        <v>356</v>
      </c>
      <c r="Y81" s="1" t="s">
        <v>357</v>
      </c>
    </row>
    <row r="82" spans="16:25">
      <c r="P82" s="2" t="s">
        <v>488</v>
      </c>
      <c r="Q82" s="10" t="s">
        <v>36</v>
      </c>
      <c r="R82" s="2" t="s">
        <v>353</v>
      </c>
      <c r="S82" s="3">
        <v>189.66</v>
      </c>
      <c r="T82" s="11">
        <f t="shared" si="2"/>
        <v>1.4617566359404386E-3</v>
      </c>
      <c r="U82" s="1" t="s">
        <v>354</v>
      </c>
      <c r="V82" s="2"/>
      <c r="W82" s="2"/>
      <c r="X82" s="6" t="s">
        <v>356</v>
      </c>
      <c r="Y82" s="1" t="s">
        <v>357</v>
      </c>
    </row>
    <row r="83" spans="16:25">
      <c r="P83" s="2" t="s">
        <v>489</v>
      </c>
      <c r="Q83" s="10" t="s">
        <v>36</v>
      </c>
      <c r="R83" s="2" t="s">
        <v>353</v>
      </c>
      <c r="S83" s="3">
        <v>223.3</v>
      </c>
      <c r="T83" s="11">
        <f t="shared" si="2"/>
        <v>1.721028455159232E-3</v>
      </c>
      <c r="U83" s="1" t="s">
        <v>354</v>
      </c>
      <c r="V83" s="2"/>
      <c r="W83" s="2"/>
      <c r="X83" s="6" t="s">
        <v>356</v>
      </c>
      <c r="Y83" s="1" t="s">
        <v>357</v>
      </c>
    </row>
    <row r="84" spans="16:25">
      <c r="P84" s="2" t="s">
        <v>490</v>
      </c>
      <c r="Q84" s="10" t="s">
        <v>36</v>
      </c>
      <c r="R84" s="2" t="s">
        <v>353</v>
      </c>
      <c r="S84" s="3">
        <v>252.88</v>
      </c>
      <c r="T84" s="11">
        <f t="shared" si="2"/>
        <v>1.9490088479205848E-3</v>
      </c>
      <c r="U84" s="1" t="s">
        <v>354</v>
      </c>
      <c r="V84" s="2"/>
      <c r="W84" s="2"/>
      <c r="X84" s="6" t="s">
        <v>356</v>
      </c>
      <c r="Y84" s="1" t="s">
        <v>357</v>
      </c>
    </row>
    <row r="85" spans="16:25">
      <c r="P85" s="2" t="s">
        <v>491</v>
      </c>
      <c r="Q85" s="10" t="s">
        <v>36</v>
      </c>
      <c r="R85" s="2" t="s">
        <v>353</v>
      </c>
      <c r="S85" s="3">
        <v>223.3</v>
      </c>
      <c r="T85" s="11">
        <f t="shared" si="2"/>
        <v>1.721028455159232E-3</v>
      </c>
      <c r="U85" s="1" t="s">
        <v>354</v>
      </c>
      <c r="V85" s="2"/>
      <c r="W85" s="2"/>
      <c r="X85" s="6" t="s">
        <v>356</v>
      </c>
      <c r="Y85" s="1" t="s">
        <v>357</v>
      </c>
    </row>
    <row r="86" spans="16:25">
      <c r="P86" s="2" t="s">
        <v>492</v>
      </c>
      <c r="Q86" s="10" t="s">
        <v>36</v>
      </c>
      <c r="R86" s="2" t="s">
        <v>353</v>
      </c>
      <c r="S86" s="3">
        <v>255.2</v>
      </c>
      <c r="T86" s="11">
        <f t="shared" si="2"/>
        <v>1.9668896630391222E-3</v>
      </c>
      <c r="U86" s="1" t="s">
        <v>354</v>
      </c>
      <c r="V86" s="2"/>
      <c r="W86" s="2"/>
      <c r="X86" s="6" t="s">
        <v>356</v>
      </c>
      <c r="Y86" s="1" t="s">
        <v>357</v>
      </c>
    </row>
    <row r="87" spans="16:25">
      <c r="P87" s="2" t="s">
        <v>493</v>
      </c>
      <c r="Q87" s="10" t="s">
        <v>36</v>
      </c>
      <c r="R87" s="2" t="s">
        <v>353</v>
      </c>
      <c r="S87" s="3">
        <v>255.2</v>
      </c>
      <c r="T87" s="11">
        <f t="shared" si="2"/>
        <v>1.9668896630391222E-3</v>
      </c>
      <c r="U87" s="1" t="s">
        <v>354</v>
      </c>
      <c r="V87" s="2"/>
      <c r="W87" s="2"/>
      <c r="X87" s="6" t="s">
        <v>356</v>
      </c>
      <c r="Y87" s="1" t="s">
        <v>357</v>
      </c>
    </row>
    <row r="88" spans="16:25">
      <c r="P88" s="2" t="s">
        <v>494</v>
      </c>
      <c r="Q88" s="10" t="s">
        <v>36</v>
      </c>
      <c r="R88" s="2" t="s">
        <v>353</v>
      </c>
      <c r="S88" s="3">
        <v>255.2</v>
      </c>
      <c r="T88" s="11">
        <f t="shared" si="2"/>
        <v>1.9668896630391222E-3</v>
      </c>
      <c r="U88" s="1" t="s">
        <v>354</v>
      </c>
      <c r="V88" s="2"/>
      <c r="W88" s="2"/>
      <c r="X88" s="6" t="s">
        <v>356</v>
      </c>
      <c r="Y88" s="1" t="s">
        <v>357</v>
      </c>
    </row>
    <row r="89" spans="16:25">
      <c r="P89" s="2" t="s">
        <v>495</v>
      </c>
      <c r="Q89" s="10" t="s">
        <v>36</v>
      </c>
      <c r="R89" s="2" t="s">
        <v>353</v>
      </c>
      <c r="S89" s="3">
        <v>255.2</v>
      </c>
      <c r="T89" s="11">
        <f t="shared" si="2"/>
        <v>1.9668896630391222E-3</v>
      </c>
      <c r="U89" s="1" t="s">
        <v>354</v>
      </c>
      <c r="V89" s="2"/>
      <c r="W89" s="2"/>
      <c r="X89" s="6" t="s">
        <v>356</v>
      </c>
      <c r="Y89" s="1" t="s">
        <v>357</v>
      </c>
    </row>
    <row r="90" spans="16:25">
      <c r="P90" s="2" t="s">
        <v>496</v>
      </c>
      <c r="Q90" s="10" t="s">
        <v>36</v>
      </c>
      <c r="R90" s="2" t="s">
        <v>353</v>
      </c>
      <c r="S90" s="3">
        <v>271.14999999999998</v>
      </c>
      <c r="T90" s="11">
        <f t="shared" si="2"/>
        <v>2.0898202669790674E-3</v>
      </c>
      <c r="U90" s="1" t="s">
        <v>354</v>
      </c>
      <c r="V90" s="2"/>
      <c r="W90" s="2"/>
      <c r="X90" s="6" t="s">
        <v>356</v>
      </c>
      <c r="Y90" s="1" t="s">
        <v>357</v>
      </c>
    </row>
    <row r="91" spans="16:25">
      <c r="P91" s="2" t="s">
        <v>497</v>
      </c>
      <c r="Q91" s="10" t="s">
        <v>36</v>
      </c>
      <c r="R91" s="2" t="s">
        <v>353</v>
      </c>
      <c r="S91" s="3">
        <v>255.2</v>
      </c>
      <c r="T91" s="11">
        <f t="shared" si="2"/>
        <v>1.9668896630391222E-3</v>
      </c>
      <c r="U91" s="1" t="s">
        <v>354</v>
      </c>
      <c r="V91" s="2"/>
      <c r="W91" s="2"/>
      <c r="X91" s="6" t="s">
        <v>356</v>
      </c>
      <c r="Y91" s="1" t="s">
        <v>357</v>
      </c>
    </row>
    <row r="92" spans="16:25">
      <c r="P92" s="2" t="s">
        <v>498</v>
      </c>
      <c r="Q92" s="10" t="s">
        <v>36</v>
      </c>
      <c r="R92" s="2" t="s">
        <v>353</v>
      </c>
      <c r="S92" s="3">
        <v>255.2</v>
      </c>
      <c r="T92" s="11">
        <f t="shared" si="2"/>
        <v>1.9668896630391222E-3</v>
      </c>
      <c r="U92" s="1" t="s">
        <v>354</v>
      </c>
      <c r="V92" s="2"/>
      <c r="W92" s="2"/>
      <c r="X92" s="6" t="s">
        <v>356</v>
      </c>
      <c r="Y92" s="1" t="s">
        <v>357</v>
      </c>
    </row>
    <row r="93" spans="16:25">
      <c r="P93" s="2" t="s">
        <v>499</v>
      </c>
      <c r="Q93" s="10" t="s">
        <v>36</v>
      </c>
      <c r="R93" s="2" t="s">
        <v>353</v>
      </c>
      <c r="S93" s="3">
        <v>255.2</v>
      </c>
      <c r="T93" s="11">
        <f t="shared" si="2"/>
        <v>1.9668896630391222E-3</v>
      </c>
      <c r="U93" s="1" t="s">
        <v>354</v>
      </c>
      <c r="V93" s="2"/>
      <c r="W93" s="2"/>
      <c r="X93" s="6" t="s">
        <v>356</v>
      </c>
      <c r="Y93" s="1" t="s">
        <v>357</v>
      </c>
    </row>
    <row r="94" spans="16:25">
      <c r="P94" s="2" t="s">
        <v>500</v>
      </c>
      <c r="Q94" s="10" t="s">
        <v>36</v>
      </c>
      <c r="R94" s="2" t="s">
        <v>353</v>
      </c>
      <c r="S94" s="3">
        <v>255.2</v>
      </c>
      <c r="T94" s="11">
        <f t="shared" ref="T94:T157" si="3">S94/$B$2</f>
        <v>1.9668896630391222E-3</v>
      </c>
      <c r="U94" s="1" t="s">
        <v>354</v>
      </c>
      <c r="V94" s="2"/>
      <c r="W94" s="2"/>
      <c r="X94" s="6" t="s">
        <v>356</v>
      </c>
      <c r="Y94" s="1" t="s">
        <v>357</v>
      </c>
    </row>
    <row r="95" spans="16:25">
      <c r="P95" s="2" t="s">
        <v>501</v>
      </c>
      <c r="Q95" s="10" t="s">
        <v>36</v>
      </c>
      <c r="R95" s="2" t="s">
        <v>353</v>
      </c>
      <c r="S95" s="3">
        <v>255.2</v>
      </c>
      <c r="T95" s="11">
        <f t="shared" si="3"/>
        <v>1.9668896630391222E-3</v>
      </c>
      <c r="U95" s="1" t="s">
        <v>354</v>
      </c>
      <c r="V95" s="2"/>
      <c r="W95" s="2"/>
      <c r="X95" s="6" t="s">
        <v>356</v>
      </c>
      <c r="Y95" s="1" t="s">
        <v>357</v>
      </c>
    </row>
    <row r="96" spans="16:25">
      <c r="P96" s="2" t="s">
        <v>502</v>
      </c>
      <c r="Q96" s="10" t="s">
        <v>36</v>
      </c>
      <c r="R96" s="2" t="s">
        <v>353</v>
      </c>
      <c r="S96" s="3">
        <v>284.49</v>
      </c>
      <c r="T96" s="11">
        <f t="shared" si="3"/>
        <v>2.1926349539106581E-3</v>
      </c>
      <c r="U96" s="1" t="s">
        <v>354</v>
      </c>
      <c r="V96" s="2"/>
      <c r="W96" s="2"/>
      <c r="X96" s="6" t="s">
        <v>356</v>
      </c>
      <c r="Y96" s="1" t="s">
        <v>357</v>
      </c>
    </row>
    <row r="97" spans="16:25">
      <c r="P97" s="2" t="s">
        <v>503</v>
      </c>
      <c r="Q97" s="10" t="s">
        <v>36</v>
      </c>
      <c r="R97" s="2" t="s">
        <v>353</v>
      </c>
      <c r="S97" s="3">
        <v>284.49</v>
      </c>
      <c r="T97" s="11">
        <f t="shared" si="3"/>
        <v>2.1926349539106581E-3</v>
      </c>
      <c r="U97" s="1" t="s">
        <v>354</v>
      </c>
      <c r="V97" s="2"/>
      <c r="W97" s="2"/>
      <c r="X97" s="6" t="s">
        <v>356</v>
      </c>
      <c r="Y97" s="1" t="s">
        <v>357</v>
      </c>
    </row>
    <row r="98" spans="16:25">
      <c r="P98" s="2" t="s">
        <v>504</v>
      </c>
      <c r="Q98" s="10" t="s">
        <v>36</v>
      </c>
      <c r="R98" s="2" t="s">
        <v>353</v>
      </c>
      <c r="S98" s="3">
        <v>284.49</v>
      </c>
      <c r="T98" s="11">
        <f t="shared" si="3"/>
        <v>2.1926349539106581E-3</v>
      </c>
      <c r="U98" s="1" t="s">
        <v>354</v>
      </c>
      <c r="V98" s="2"/>
      <c r="W98" s="2"/>
      <c r="X98" s="6" t="s">
        <v>356</v>
      </c>
      <c r="Y98" s="1" t="s">
        <v>357</v>
      </c>
    </row>
    <row r="99" spans="16:25">
      <c r="P99" s="2" t="s">
        <v>505</v>
      </c>
      <c r="Q99" s="10" t="s">
        <v>36</v>
      </c>
      <c r="R99" s="2" t="s">
        <v>353</v>
      </c>
      <c r="S99" s="3">
        <v>252.88</v>
      </c>
      <c r="T99" s="11">
        <f t="shared" si="3"/>
        <v>1.9490088479205848E-3</v>
      </c>
      <c r="U99" s="1" t="s">
        <v>354</v>
      </c>
      <c r="V99" s="2"/>
      <c r="W99" s="2"/>
      <c r="X99" s="6" t="s">
        <v>356</v>
      </c>
      <c r="Y99" s="1" t="s">
        <v>357</v>
      </c>
    </row>
    <row r="100" spans="16:25">
      <c r="P100" s="2" t="s">
        <v>506</v>
      </c>
      <c r="Q100" s="10" t="s">
        <v>36</v>
      </c>
      <c r="R100" s="2" t="s">
        <v>353</v>
      </c>
      <c r="S100" s="3">
        <v>284.49</v>
      </c>
      <c r="T100" s="11">
        <f t="shared" si="3"/>
        <v>2.1926349539106581E-3</v>
      </c>
      <c r="U100" s="1" t="s">
        <v>354</v>
      </c>
      <c r="V100" s="2"/>
      <c r="W100" s="2"/>
      <c r="X100" s="6" t="s">
        <v>356</v>
      </c>
      <c r="Y100" s="1" t="s">
        <v>357</v>
      </c>
    </row>
    <row r="101" spans="16:25">
      <c r="P101" s="2" t="s">
        <v>507</v>
      </c>
      <c r="Q101" s="10" t="s">
        <v>36</v>
      </c>
      <c r="R101" s="2" t="s">
        <v>353</v>
      </c>
      <c r="S101" s="3">
        <v>284.49</v>
      </c>
      <c r="T101" s="11">
        <f t="shared" si="3"/>
        <v>2.1926349539106581E-3</v>
      </c>
      <c r="U101" s="1" t="s">
        <v>354</v>
      </c>
      <c r="V101" s="2"/>
      <c r="W101" s="2"/>
      <c r="X101" s="6" t="s">
        <v>356</v>
      </c>
      <c r="Y101" s="1" t="s">
        <v>357</v>
      </c>
    </row>
    <row r="102" spans="16:25">
      <c r="P102" s="2" t="s">
        <v>508</v>
      </c>
      <c r="Q102" s="10" t="s">
        <v>36</v>
      </c>
      <c r="R102" s="2" t="s">
        <v>353</v>
      </c>
      <c r="S102" s="3">
        <v>223.3</v>
      </c>
      <c r="T102" s="11">
        <f t="shared" si="3"/>
        <v>1.721028455159232E-3</v>
      </c>
      <c r="U102" s="1" t="s">
        <v>354</v>
      </c>
      <c r="V102" s="2"/>
      <c r="W102" s="2"/>
      <c r="X102" s="6" t="s">
        <v>356</v>
      </c>
      <c r="Y102" s="1" t="s">
        <v>357</v>
      </c>
    </row>
    <row r="103" spans="16:25">
      <c r="P103" s="2" t="s">
        <v>509</v>
      </c>
      <c r="Q103" s="10" t="s">
        <v>36</v>
      </c>
      <c r="R103" s="2" t="s">
        <v>353</v>
      </c>
      <c r="S103" s="3">
        <v>284.49</v>
      </c>
      <c r="T103" s="11">
        <f t="shared" si="3"/>
        <v>2.1926349539106581E-3</v>
      </c>
      <c r="U103" s="1" t="s">
        <v>354</v>
      </c>
      <c r="V103" s="2"/>
      <c r="W103" s="2"/>
      <c r="X103" s="6" t="s">
        <v>356</v>
      </c>
      <c r="Y103" s="1" t="s">
        <v>357</v>
      </c>
    </row>
    <row r="104" spans="16:25">
      <c r="P104" s="2" t="s">
        <v>510</v>
      </c>
      <c r="Q104" s="10" t="s">
        <v>36</v>
      </c>
      <c r="R104" s="2" t="s">
        <v>353</v>
      </c>
      <c r="S104" s="3">
        <v>284.49</v>
      </c>
      <c r="T104" s="11">
        <f t="shared" si="3"/>
        <v>2.1926349539106581E-3</v>
      </c>
      <c r="U104" s="1" t="s">
        <v>354</v>
      </c>
      <c r="V104" s="2"/>
      <c r="W104" s="2"/>
      <c r="X104" s="6" t="s">
        <v>356</v>
      </c>
      <c r="Y104" s="1" t="s">
        <v>357</v>
      </c>
    </row>
    <row r="105" spans="16:25">
      <c r="P105" s="2" t="s">
        <v>511</v>
      </c>
      <c r="Q105" s="10" t="s">
        <v>36</v>
      </c>
      <c r="R105" s="2" t="s">
        <v>353</v>
      </c>
      <c r="S105" s="3">
        <v>207.35</v>
      </c>
      <c r="T105" s="11">
        <f t="shared" si="3"/>
        <v>1.5980978512192868E-3</v>
      </c>
      <c r="U105" s="1" t="s">
        <v>354</v>
      </c>
      <c r="V105" s="2"/>
      <c r="W105" s="2"/>
      <c r="X105" s="6" t="s">
        <v>356</v>
      </c>
      <c r="Y105" s="1" t="s">
        <v>357</v>
      </c>
    </row>
    <row r="106" spans="16:25">
      <c r="P106" s="2" t="s">
        <v>512</v>
      </c>
      <c r="Q106" s="10" t="s">
        <v>36</v>
      </c>
      <c r="R106" s="2" t="s">
        <v>353</v>
      </c>
      <c r="S106" s="3">
        <v>252.88</v>
      </c>
      <c r="T106" s="11">
        <f t="shared" si="3"/>
        <v>1.9490088479205848E-3</v>
      </c>
      <c r="U106" s="1" t="s">
        <v>354</v>
      </c>
      <c r="V106" s="2"/>
      <c r="W106" s="2"/>
      <c r="X106" s="6" t="s">
        <v>356</v>
      </c>
      <c r="Y106" s="1" t="s">
        <v>357</v>
      </c>
    </row>
    <row r="107" spans="16:25">
      <c r="P107" s="2" t="s">
        <v>513</v>
      </c>
      <c r="Q107" s="10" t="s">
        <v>36</v>
      </c>
      <c r="R107" s="2" t="s">
        <v>353</v>
      </c>
      <c r="S107" s="3">
        <v>252.88</v>
      </c>
      <c r="T107" s="11">
        <f t="shared" si="3"/>
        <v>1.9490088479205848E-3</v>
      </c>
      <c r="U107" s="1" t="s">
        <v>354</v>
      </c>
      <c r="V107" s="2"/>
      <c r="W107" s="2"/>
      <c r="X107" s="6" t="s">
        <v>356</v>
      </c>
      <c r="Y107" s="1" t="s">
        <v>357</v>
      </c>
    </row>
    <row r="108" spans="16:25">
      <c r="P108" s="2" t="s">
        <v>514</v>
      </c>
      <c r="Q108" s="10" t="s">
        <v>36</v>
      </c>
      <c r="R108" s="2" t="s">
        <v>353</v>
      </c>
      <c r="S108" s="3">
        <v>252.88</v>
      </c>
      <c r="T108" s="11">
        <f t="shared" si="3"/>
        <v>1.9490088479205848E-3</v>
      </c>
      <c r="U108" s="1" t="s">
        <v>354</v>
      </c>
      <c r="V108" s="2"/>
      <c r="W108" s="2"/>
      <c r="X108" s="6" t="s">
        <v>356</v>
      </c>
      <c r="Y108" s="1" t="s">
        <v>357</v>
      </c>
    </row>
    <row r="109" spans="16:25">
      <c r="P109" s="2" t="s">
        <v>515</v>
      </c>
      <c r="Q109" s="10" t="s">
        <v>36</v>
      </c>
      <c r="R109" s="2" t="s">
        <v>353</v>
      </c>
      <c r="S109" s="3">
        <v>284.49</v>
      </c>
      <c r="T109" s="11">
        <f t="shared" si="3"/>
        <v>2.1926349539106581E-3</v>
      </c>
      <c r="U109" s="1" t="s">
        <v>354</v>
      </c>
      <c r="V109" s="2"/>
      <c r="W109" s="2"/>
      <c r="X109" s="6" t="s">
        <v>356</v>
      </c>
      <c r="Y109" s="1" t="s">
        <v>357</v>
      </c>
    </row>
    <row r="110" spans="16:25">
      <c r="P110" s="2" t="s">
        <v>516</v>
      </c>
      <c r="Q110" s="10" t="s">
        <v>36</v>
      </c>
      <c r="R110" s="2" t="s">
        <v>353</v>
      </c>
      <c r="S110" s="3">
        <v>284.49</v>
      </c>
      <c r="T110" s="11">
        <f t="shared" si="3"/>
        <v>2.1926349539106581E-3</v>
      </c>
      <c r="U110" s="1" t="s">
        <v>354</v>
      </c>
      <c r="V110" s="2"/>
      <c r="W110" s="2"/>
      <c r="X110" s="6" t="s">
        <v>356</v>
      </c>
      <c r="Y110" s="1" t="s">
        <v>357</v>
      </c>
    </row>
    <row r="111" spans="16:25">
      <c r="P111" s="2" t="s">
        <v>517</v>
      </c>
      <c r="Q111" s="10" t="s">
        <v>36</v>
      </c>
      <c r="R111" s="2" t="s">
        <v>353</v>
      </c>
      <c r="S111" s="3">
        <v>284.49</v>
      </c>
      <c r="T111" s="11">
        <f t="shared" si="3"/>
        <v>2.1926349539106581E-3</v>
      </c>
      <c r="U111" s="1" t="s">
        <v>354</v>
      </c>
      <c r="V111" s="2"/>
      <c r="W111" s="2"/>
      <c r="X111" s="6" t="s">
        <v>356</v>
      </c>
      <c r="Y111" s="1" t="s">
        <v>357</v>
      </c>
    </row>
    <row r="112" spans="16:25">
      <c r="P112" s="2" t="s">
        <v>518</v>
      </c>
      <c r="Q112" s="10" t="s">
        <v>36</v>
      </c>
      <c r="R112" s="2" t="s">
        <v>353</v>
      </c>
      <c r="S112" s="3">
        <v>284.49</v>
      </c>
      <c r="T112" s="11">
        <f t="shared" si="3"/>
        <v>2.1926349539106581E-3</v>
      </c>
      <c r="U112" s="1" t="s">
        <v>354</v>
      </c>
      <c r="V112" s="2"/>
      <c r="W112" s="2"/>
      <c r="X112" s="6" t="s">
        <v>356</v>
      </c>
      <c r="Y112" s="1" t="s">
        <v>357</v>
      </c>
    </row>
    <row r="113" spans="16:25">
      <c r="P113" s="2" t="s">
        <v>519</v>
      </c>
      <c r="Q113" s="10" t="s">
        <v>36</v>
      </c>
      <c r="R113" s="2" t="s">
        <v>353</v>
      </c>
      <c r="S113" s="3">
        <v>284.49</v>
      </c>
      <c r="T113" s="11">
        <f t="shared" si="3"/>
        <v>2.1926349539106581E-3</v>
      </c>
      <c r="U113" s="1" t="s">
        <v>354</v>
      </c>
      <c r="V113" s="2"/>
      <c r="W113" s="2"/>
      <c r="X113" s="6" t="s">
        <v>356</v>
      </c>
      <c r="Y113" s="1" t="s">
        <v>357</v>
      </c>
    </row>
    <row r="114" spans="16:25">
      <c r="P114" s="2" t="s">
        <v>520</v>
      </c>
      <c r="Q114" s="10" t="s">
        <v>36</v>
      </c>
      <c r="R114" s="2" t="s">
        <v>353</v>
      </c>
      <c r="S114" s="3">
        <v>284.49</v>
      </c>
      <c r="T114" s="11">
        <f t="shared" si="3"/>
        <v>2.1926349539106581E-3</v>
      </c>
      <c r="U114" s="1" t="s">
        <v>354</v>
      </c>
      <c r="V114" s="2"/>
      <c r="W114" s="2"/>
      <c r="X114" s="6" t="s">
        <v>356</v>
      </c>
      <c r="Y114" s="1" t="s">
        <v>357</v>
      </c>
    </row>
    <row r="115" spans="16:25">
      <c r="P115" s="2" t="s">
        <v>521</v>
      </c>
      <c r="Q115" s="292" t="s">
        <v>36</v>
      </c>
      <c r="R115" s="2" t="s">
        <v>353</v>
      </c>
      <c r="S115" s="3">
        <v>287.10000000000002</v>
      </c>
      <c r="T115" s="11">
        <f t="shared" si="3"/>
        <v>2.2127508709190126E-3</v>
      </c>
      <c r="U115" s="1" t="s">
        <v>354</v>
      </c>
      <c r="V115" s="2"/>
      <c r="W115" s="2"/>
      <c r="X115" s="6" t="s">
        <v>356</v>
      </c>
      <c r="Y115" s="1" t="s">
        <v>357</v>
      </c>
    </row>
    <row r="116" spans="16:25">
      <c r="P116" s="2" t="s">
        <v>522</v>
      </c>
      <c r="Q116" s="292" t="s">
        <v>36</v>
      </c>
      <c r="R116" s="2" t="s">
        <v>353</v>
      </c>
      <c r="S116" s="3">
        <v>287.10000000000002</v>
      </c>
      <c r="T116" s="11">
        <f t="shared" si="3"/>
        <v>2.2127508709190126E-3</v>
      </c>
      <c r="U116" s="1" t="s">
        <v>354</v>
      </c>
      <c r="V116" s="2"/>
      <c r="W116" s="2"/>
      <c r="X116" s="6" t="s">
        <v>356</v>
      </c>
      <c r="Y116" s="1" t="s">
        <v>357</v>
      </c>
    </row>
    <row r="117" spans="16:25">
      <c r="P117" s="2" t="s">
        <v>523</v>
      </c>
      <c r="Q117" s="292" t="s">
        <v>36</v>
      </c>
      <c r="R117" s="2" t="s">
        <v>353</v>
      </c>
      <c r="S117" s="3">
        <v>255.2</v>
      </c>
      <c r="T117" s="11">
        <f t="shared" si="3"/>
        <v>1.9668896630391222E-3</v>
      </c>
      <c r="U117" s="1" t="s">
        <v>354</v>
      </c>
      <c r="V117" s="2"/>
      <c r="W117" s="2"/>
      <c r="X117" s="6" t="s">
        <v>356</v>
      </c>
      <c r="Y117" s="1" t="s">
        <v>357</v>
      </c>
    </row>
    <row r="118" spans="16:25">
      <c r="P118" s="2" t="s">
        <v>524</v>
      </c>
      <c r="Q118" s="292" t="s">
        <v>36</v>
      </c>
      <c r="R118" s="2" t="s">
        <v>353</v>
      </c>
      <c r="S118" s="3">
        <v>255.2</v>
      </c>
      <c r="T118" s="11">
        <f t="shared" si="3"/>
        <v>1.9668896630391222E-3</v>
      </c>
      <c r="U118" s="1" t="s">
        <v>354</v>
      </c>
      <c r="V118" s="2"/>
      <c r="W118" s="2"/>
      <c r="X118" s="6" t="s">
        <v>356</v>
      </c>
      <c r="Y118" s="1" t="s">
        <v>357</v>
      </c>
    </row>
    <row r="119" spans="16:25">
      <c r="P119" s="2" t="s">
        <v>525</v>
      </c>
      <c r="Q119" s="292" t="s">
        <v>36</v>
      </c>
      <c r="R119" s="2" t="s">
        <v>353</v>
      </c>
      <c r="S119" s="3">
        <v>252.88</v>
      </c>
      <c r="T119" s="11">
        <f t="shared" si="3"/>
        <v>1.9490088479205848E-3</v>
      </c>
      <c r="U119" s="1" t="s">
        <v>354</v>
      </c>
      <c r="V119" s="2"/>
      <c r="W119" s="2"/>
      <c r="X119" s="6" t="s">
        <v>356</v>
      </c>
      <c r="Y119" s="1" t="s">
        <v>357</v>
      </c>
    </row>
    <row r="120" spans="16:25">
      <c r="P120" s="2" t="s">
        <v>526</v>
      </c>
      <c r="Q120" s="292" t="s">
        <v>36</v>
      </c>
      <c r="R120" s="2" t="s">
        <v>353</v>
      </c>
      <c r="S120" s="3">
        <v>252.88</v>
      </c>
      <c r="T120" s="11">
        <f t="shared" si="3"/>
        <v>1.9490088479205848E-3</v>
      </c>
      <c r="U120" s="1" t="s">
        <v>354</v>
      </c>
      <c r="V120" s="2"/>
      <c r="W120" s="2"/>
      <c r="X120" s="6" t="s">
        <v>356</v>
      </c>
      <c r="Y120" s="1" t="s">
        <v>357</v>
      </c>
    </row>
    <row r="121" spans="16:25">
      <c r="P121" s="2" t="s">
        <v>527</v>
      </c>
      <c r="Q121" s="292" t="s">
        <v>36</v>
      </c>
      <c r="R121" s="2" t="s">
        <v>353</v>
      </c>
      <c r="S121" s="3">
        <v>287.10000000000002</v>
      </c>
      <c r="T121" s="11">
        <f t="shared" si="3"/>
        <v>2.2127508709190126E-3</v>
      </c>
      <c r="U121" s="1" t="s">
        <v>354</v>
      </c>
      <c r="V121" s="2"/>
      <c r="W121" s="2"/>
      <c r="X121" s="6" t="s">
        <v>356</v>
      </c>
      <c r="Y121" s="1" t="s">
        <v>357</v>
      </c>
    </row>
    <row r="122" spans="16:25">
      <c r="P122" s="2" t="s">
        <v>528</v>
      </c>
      <c r="Q122" s="292" t="s">
        <v>36</v>
      </c>
      <c r="R122" s="2" t="s">
        <v>353</v>
      </c>
      <c r="S122" s="3">
        <v>287.10000000000002</v>
      </c>
      <c r="T122" s="11">
        <f t="shared" si="3"/>
        <v>2.2127508709190126E-3</v>
      </c>
      <c r="U122" s="1" t="s">
        <v>354</v>
      </c>
      <c r="V122" s="2"/>
      <c r="W122" s="2"/>
      <c r="X122" s="6" t="s">
        <v>356</v>
      </c>
      <c r="Y122" s="1" t="s">
        <v>357</v>
      </c>
    </row>
    <row r="123" spans="16:25">
      <c r="P123" s="2" t="s">
        <v>529</v>
      </c>
      <c r="Q123" s="292" t="s">
        <v>36</v>
      </c>
      <c r="R123" s="2" t="s">
        <v>353</v>
      </c>
      <c r="S123" s="3">
        <v>255.2</v>
      </c>
      <c r="T123" s="11">
        <f t="shared" si="3"/>
        <v>1.9668896630391222E-3</v>
      </c>
      <c r="U123" s="1" t="s">
        <v>354</v>
      </c>
      <c r="V123" s="2"/>
      <c r="W123" s="2"/>
      <c r="X123" s="6" t="s">
        <v>356</v>
      </c>
      <c r="Y123" s="1" t="s">
        <v>357</v>
      </c>
    </row>
    <row r="124" spans="16:25">
      <c r="P124" s="2" t="s">
        <v>530</v>
      </c>
      <c r="Q124" s="292" t="s">
        <v>36</v>
      </c>
      <c r="R124" s="2" t="s">
        <v>353</v>
      </c>
      <c r="S124" s="3">
        <v>271.14999999999998</v>
      </c>
      <c r="T124" s="11">
        <f t="shared" si="3"/>
        <v>2.0898202669790674E-3</v>
      </c>
      <c r="U124" s="1" t="s">
        <v>354</v>
      </c>
      <c r="V124" s="2"/>
      <c r="W124" s="2"/>
      <c r="X124" s="6" t="s">
        <v>356</v>
      </c>
      <c r="Y124" s="1" t="s">
        <v>357</v>
      </c>
    </row>
    <row r="125" spans="16:25">
      <c r="P125" s="2" t="s">
        <v>531</v>
      </c>
      <c r="Q125" s="292" t="s">
        <v>36</v>
      </c>
      <c r="R125" s="2" t="s">
        <v>353</v>
      </c>
      <c r="S125" s="3">
        <v>255.2</v>
      </c>
      <c r="T125" s="11">
        <f t="shared" si="3"/>
        <v>1.9668896630391222E-3</v>
      </c>
      <c r="U125" s="1" t="s">
        <v>354</v>
      </c>
      <c r="V125" s="2"/>
      <c r="W125" s="2"/>
      <c r="X125" s="6" t="s">
        <v>356</v>
      </c>
      <c r="Y125" s="1" t="s">
        <v>357</v>
      </c>
    </row>
    <row r="126" spans="16:25">
      <c r="P126" s="2" t="s">
        <v>532</v>
      </c>
      <c r="Q126" s="292" t="s">
        <v>36</v>
      </c>
      <c r="R126" s="2" t="s">
        <v>353</v>
      </c>
      <c r="S126" s="3">
        <v>255.2</v>
      </c>
      <c r="T126" s="11">
        <f t="shared" si="3"/>
        <v>1.9668896630391222E-3</v>
      </c>
      <c r="U126" s="1" t="s">
        <v>354</v>
      </c>
      <c r="V126" s="2"/>
      <c r="W126" s="2"/>
      <c r="X126" s="6" t="s">
        <v>356</v>
      </c>
      <c r="Y126" s="1" t="s">
        <v>357</v>
      </c>
    </row>
    <row r="127" spans="16:25">
      <c r="P127" s="2" t="s">
        <v>533</v>
      </c>
      <c r="Q127" s="292" t="s">
        <v>36</v>
      </c>
      <c r="R127" s="2" t="s">
        <v>353</v>
      </c>
      <c r="S127" s="3">
        <v>252.88</v>
      </c>
      <c r="T127" s="11">
        <f t="shared" si="3"/>
        <v>1.9490088479205848E-3</v>
      </c>
      <c r="U127" s="1" t="s">
        <v>354</v>
      </c>
      <c r="V127" s="2"/>
      <c r="W127" s="2"/>
      <c r="X127" s="6" t="s">
        <v>356</v>
      </c>
      <c r="Y127" s="1" t="s">
        <v>357</v>
      </c>
    </row>
    <row r="128" spans="16:25">
      <c r="P128" s="2" t="s">
        <v>534</v>
      </c>
      <c r="Q128" s="292" t="s">
        <v>36</v>
      </c>
      <c r="R128" s="2" t="s">
        <v>353</v>
      </c>
      <c r="S128" s="3">
        <v>252.88</v>
      </c>
      <c r="T128" s="11">
        <f t="shared" si="3"/>
        <v>1.9490088479205848E-3</v>
      </c>
      <c r="U128" s="1" t="s">
        <v>354</v>
      </c>
      <c r="V128" s="2"/>
      <c r="W128" s="2"/>
      <c r="X128" s="6" t="s">
        <v>356</v>
      </c>
      <c r="Y128" s="1" t="s">
        <v>357</v>
      </c>
    </row>
    <row r="129" spans="16:25">
      <c r="P129" s="2" t="s">
        <v>535</v>
      </c>
      <c r="Q129" s="292" t="s">
        <v>36</v>
      </c>
      <c r="R129" s="2" t="s">
        <v>353</v>
      </c>
      <c r="S129" s="3">
        <v>252.88</v>
      </c>
      <c r="T129" s="11">
        <f t="shared" si="3"/>
        <v>1.9490088479205848E-3</v>
      </c>
      <c r="U129" s="1" t="s">
        <v>354</v>
      </c>
      <c r="V129" s="2"/>
      <c r="W129" s="2"/>
      <c r="X129" s="6" t="s">
        <v>356</v>
      </c>
      <c r="Y129" s="1" t="s">
        <v>357</v>
      </c>
    </row>
    <row r="130" spans="16:25">
      <c r="P130" s="2" t="s">
        <v>536</v>
      </c>
      <c r="Q130" s="292" t="s">
        <v>36</v>
      </c>
      <c r="R130" s="2" t="s">
        <v>353</v>
      </c>
      <c r="S130" s="3">
        <v>255.2</v>
      </c>
      <c r="T130" s="11">
        <f t="shared" si="3"/>
        <v>1.9668896630391222E-3</v>
      </c>
      <c r="U130" s="1" t="s">
        <v>354</v>
      </c>
      <c r="V130" s="2"/>
      <c r="W130" s="2"/>
      <c r="X130" s="6" t="s">
        <v>356</v>
      </c>
      <c r="Y130" s="1" t="s">
        <v>357</v>
      </c>
    </row>
    <row r="131" spans="16:25">
      <c r="P131" s="2" t="s">
        <v>537</v>
      </c>
      <c r="Q131" s="292" t="s">
        <v>36</v>
      </c>
      <c r="R131" s="2" t="s">
        <v>353</v>
      </c>
      <c r="S131" s="3">
        <v>255.2</v>
      </c>
      <c r="T131" s="11">
        <f t="shared" si="3"/>
        <v>1.9668896630391222E-3</v>
      </c>
      <c r="U131" s="1" t="s">
        <v>354</v>
      </c>
      <c r="V131" s="2"/>
      <c r="W131" s="2"/>
      <c r="X131" s="6" t="s">
        <v>356</v>
      </c>
      <c r="Y131" s="1" t="s">
        <v>357</v>
      </c>
    </row>
    <row r="132" spans="16:25">
      <c r="P132" s="2" t="s">
        <v>538</v>
      </c>
      <c r="Q132" s="292" t="s">
        <v>36</v>
      </c>
      <c r="R132" s="2" t="s">
        <v>353</v>
      </c>
      <c r="S132" s="3">
        <v>255.2</v>
      </c>
      <c r="T132" s="11">
        <f t="shared" si="3"/>
        <v>1.9668896630391222E-3</v>
      </c>
      <c r="U132" s="1" t="s">
        <v>354</v>
      </c>
      <c r="V132" s="2"/>
      <c r="W132" s="2"/>
      <c r="X132" s="6" t="s">
        <v>356</v>
      </c>
      <c r="Y132" s="1" t="s">
        <v>357</v>
      </c>
    </row>
    <row r="133" spans="16:25">
      <c r="P133" s="2" t="s">
        <v>539</v>
      </c>
      <c r="Q133" s="292" t="s">
        <v>36</v>
      </c>
      <c r="R133" s="2" t="s">
        <v>353</v>
      </c>
      <c r="S133" s="3">
        <v>287.10000000000002</v>
      </c>
      <c r="T133" s="11">
        <f t="shared" si="3"/>
        <v>2.2127508709190126E-3</v>
      </c>
      <c r="U133" s="1" t="s">
        <v>354</v>
      </c>
      <c r="V133" s="2"/>
      <c r="W133" s="2"/>
      <c r="X133" s="6" t="s">
        <v>356</v>
      </c>
      <c r="Y133" s="1" t="s">
        <v>357</v>
      </c>
    </row>
    <row r="134" spans="16:25">
      <c r="P134" s="2" t="s">
        <v>540</v>
      </c>
      <c r="Q134" s="292" t="s">
        <v>36</v>
      </c>
      <c r="R134" s="2" t="s">
        <v>353</v>
      </c>
      <c r="S134" s="3">
        <v>255.2</v>
      </c>
      <c r="T134" s="11">
        <f t="shared" si="3"/>
        <v>1.9668896630391222E-3</v>
      </c>
      <c r="U134" s="1" t="s">
        <v>354</v>
      </c>
      <c r="V134" s="2"/>
      <c r="W134" s="2"/>
      <c r="X134" s="6" t="s">
        <v>356</v>
      </c>
      <c r="Y134" s="1" t="s">
        <v>357</v>
      </c>
    </row>
    <row r="135" spans="16:25">
      <c r="P135" s="2" t="s">
        <v>541</v>
      </c>
      <c r="Q135" s="292" t="s">
        <v>36</v>
      </c>
      <c r="R135" s="2" t="s">
        <v>353</v>
      </c>
      <c r="S135" s="3">
        <v>252.88</v>
      </c>
      <c r="T135" s="11">
        <f t="shared" si="3"/>
        <v>1.9490088479205848E-3</v>
      </c>
      <c r="U135" s="1" t="s">
        <v>354</v>
      </c>
      <c r="V135" s="2"/>
      <c r="W135" s="2"/>
      <c r="X135" s="6" t="s">
        <v>356</v>
      </c>
      <c r="Y135" s="1" t="s">
        <v>357</v>
      </c>
    </row>
    <row r="136" spans="16:25">
      <c r="P136" s="2" t="s">
        <v>542</v>
      </c>
      <c r="Q136" s="292" t="s">
        <v>36</v>
      </c>
      <c r="R136" s="2" t="s">
        <v>353</v>
      </c>
      <c r="S136" s="3">
        <v>268.685</v>
      </c>
      <c r="T136" s="11">
        <f t="shared" si="3"/>
        <v>2.0708219009156212E-3</v>
      </c>
      <c r="U136" s="1" t="s">
        <v>354</v>
      </c>
      <c r="V136" s="2"/>
      <c r="W136" s="2"/>
      <c r="X136" s="6" t="s">
        <v>356</v>
      </c>
      <c r="Y136" s="1" t="s">
        <v>357</v>
      </c>
    </row>
    <row r="137" spans="16:25">
      <c r="P137" s="2" t="s">
        <v>543</v>
      </c>
      <c r="Q137" s="292" t="s">
        <v>36</v>
      </c>
      <c r="R137" s="2" t="s">
        <v>353</v>
      </c>
      <c r="S137" s="3">
        <v>252.88</v>
      </c>
      <c r="T137" s="11">
        <f t="shared" si="3"/>
        <v>1.9490088479205848E-3</v>
      </c>
      <c r="U137" s="1" t="s">
        <v>354</v>
      </c>
      <c r="V137" s="2"/>
      <c r="W137" s="2"/>
      <c r="X137" s="6" t="s">
        <v>356</v>
      </c>
      <c r="Y137" s="1" t="s">
        <v>357</v>
      </c>
    </row>
    <row r="138" spans="16:25">
      <c r="P138" s="2" t="s">
        <v>544</v>
      </c>
      <c r="Q138" s="292" t="s">
        <v>36</v>
      </c>
      <c r="R138" s="2" t="s">
        <v>353</v>
      </c>
      <c r="S138" s="3">
        <v>252.88</v>
      </c>
      <c r="T138" s="11">
        <f t="shared" si="3"/>
        <v>1.9490088479205848E-3</v>
      </c>
      <c r="U138" s="1" t="s">
        <v>354</v>
      </c>
      <c r="V138" s="2"/>
      <c r="W138" s="2"/>
      <c r="X138" s="6" t="s">
        <v>356</v>
      </c>
      <c r="Y138" s="1" t="s">
        <v>357</v>
      </c>
    </row>
    <row r="139" spans="16:25">
      <c r="P139" s="2" t="s">
        <v>545</v>
      </c>
      <c r="Q139" s="292" t="s">
        <v>36</v>
      </c>
      <c r="R139" s="2" t="s">
        <v>353</v>
      </c>
      <c r="S139" s="3">
        <v>284.49</v>
      </c>
      <c r="T139" s="11">
        <f t="shared" si="3"/>
        <v>2.1926349539106581E-3</v>
      </c>
      <c r="U139" s="1" t="s">
        <v>354</v>
      </c>
      <c r="V139" s="2"/>
      <c r="W139" s="2"/>
      <c r="X139" s="6" t="s">
        <v>356</v>
      </c>
      <c r="Y139" s="1" t="s">
        <v>357</v>
      </c>
    </row>
    <row r="140" spans="16:25">
      <c r="P140" s="2" t="s">
        <v>546</v>
      </c>
      <c r="Q140" s="292" t="s">
        <v>36</v>
      </c>
      <c r="R140" s="2" t="s">
        <v>353</v>
      </c>
      <c r="S140" s="3">
        <v>252.88</v>
      </c>
      <c r="T140" s="11">
        <f t="shared" si="3"/>
        <v>1.9490088479205848E-3</v>
      </c>
      <c r="U140" s="1" t="s">
        <v>354</v>
      </c>
      <c r="V140" s="2"/>
      <c r="W140" s="2"/>
      <c r="X140" s="6" t="s">
        <v>356</v>
      </c>
      <c r="Y140" s="1" t="s">
        <v>357</v>
      </c>
    </row>
    <row r="141" spans="16:25">
      <c r="P141" s="2" t="s">
        <v>547</v>
      </c>
      <c r="Q141" s="292" t="s">
        <v>36</v>
      </c>
      <c r="R141" s="2" t="s">
        <v>353</v>
      </c>
      <c r="S141" s="3">
        <v>252.88</v>
      </c>
      <c r="T141" s="11">
        <f t="shared" si="3"/>
        <v>1.9490088479205848E-3</v>
      </c>
      <c r="U141" s="1" t="s">
        <v>354</v>
      </c>
      <c r="V141" s="2"/>
      <c r="W141" s="2"/>
      <c r="X141" s="6" t="s">
        <v>356</v>
      </c>
      <c r="Y141" s="1" t="s">
        <v>357</v>
      </c>
    </row>
    <row r="142" spans="16:25">
      <c r="P142" s="2" t="s">
        <v>548</v>
      </c>
      <c r="Q142" s="292" t="s">
        <v>36</v>
      </c>
      <c r="R142" s="2" t="s">
        <v>353</v>
      </c>
      <c r="S142" s="3">
        <v>255.2</v>
      </c>
      <c r="T142" s="11">
        <f t="shared" si="3"/>
        <v>1.9668896630391222E-3</v>
      </c>
      <c r="U142" s="1" t="s">
        <v>354</v>
      </c>
      <c r="V142" s="2"/>
      <c r="W142" s="2"/>
      <c r="X142" s="6" t="s">
        <v>356</v>
      </c>
      <c r="Y142" s="1" t="s">
        <v>357</v>
      </c>
    </row>
    <row r="143" spans="16:25">
      <c r="P143" s="2" t="s">
        <v>549</v>
      </c>
      <c r="Q143" s="292" t="s">
        <v>36</v>
      </c>
      <c r="R143" s="2" t="s">
        <v>353</v>
      </c>
      <c r="S143" s="3">
        <v>255.2</v>
      </c>
      <c r="T143" s="11">
        <f t="shared" si="3"/>
        <v>1.9668896630391222E-3</v>
      </c>
      <c r="U143" s="1" t="s">
        <v>354</v>
      </c>
      <c r="V143" s="2"/>
      <c r="W143" s="2"/>
      <c r="X143" s="6" t="s">
        <v>356</v>
      </c>
      <c r="Y143" s="1" t="s">
        <v>357</v>
      </c>
    </row>
    <row r="144" spans="16:25">
      <c r="P144" s="2" t="s">
        <v>550</v>
      </c>
      <c r="Q144" s="292" t="s">
        <v>36</v>
      </c>
      <c r="R144" s="2" t="s">
        <v>353</v>
      </c>
      <c r="S144" s="3">
        <v>252.88</v>
      </c>
      <c r="T144" s="11">
        <f t="shared" si="3"/>
        <v>1.9490088479205848E-3</v>
      </c>
      <c r="U144" s="1" t="s">
        <v>354</v>
      </c>
      <c r="V144" s="2"/>
      <c r="W144" s="2"/>
      <c r="X144" s="6" t="s">
        <v>356</v>
      </c>
      <c r="Y144" s="1" t="s">
        <v>357</v>
      </c>
    </row>
    <row r="145" spans="16:25">
      <c r="P145" s="2" t="s">
        <v>551</v>
      </c>
      <c r="Q145" s="292" t="s">
        <v>36</v>
      </c>
      <c r="R145" s="2" t="s">
        <v>353</v>
      </c>
      <c r="S145" s="3">
        <v>284.49</v>
      </c>
      <c r="T145" s="11">
        <f t="shared" si="3"/>
        <v>2.1926349539106581E-3</v>
      </c>
      <c r="U145" s="1" t="s">
        <v>354</v>
      </c>
      <c r="V145" s="2"/>
      <c r="W145" s="2"/>
      <c r="X145" s="6" t="s">
        <v>356</v>
      </c>
      <c r="Y145" s="1" t="s">
        <v>357</v>
      </c>
    </row>
    <row r="146" spans="16:25">
      <c r="P146" s="2" t="s">
        <v>552</v>
      </c>
      <c r="Q146" s="292" t="s">
        <v>36</v>
      </c>
      <c r="R146" s="2" t="s">
        <v>353</v>
      </c>
      <c r="S146" s="3">
        <v>252.88</v>
      </c>
      <c r="T146" s="11">
        <f t="shared" si="3"/>
        <v>1.9490088479205848E-3</v>
      </c>
      <c r="U146" s="1" t="s">
        <v>354</v>
      </c>
      <c r="V146" s="2"/>
      <c r="W146" s="2"/>
      <c r="X146" s="6" t="s">
        <v>356</v>
      </c>
      <c r="Y146" s="1" t="s">
        <v>357</v>
      </c>
    </row>
    <row r="147" spans="16:25">
      <c r="P147" s="2" t="s">
        <v>553</v>
      </c>
      <c r="Q147" s="292" t="s">
        <v>36</v>
      </c>
      <c r="R147" s="2" t="s">
        <v>353</v>
      </c>
      <c r="S147" s="3">
        <v>252.88</v>
      </c>
      <c r="T147" s="11">
        <f t="shared" si="3"/>
        <v>1.9490088479205848E-3</v>
      </c>
      <c r="U147" s="1" t="s">
        <v>354</v>
      </c>
      <c r="V147" s="2"/>
      <c r="W147" s="2"/>
      <c r="X147" s="6" t="s">
        <v>356</v>
      </c>
      <c r="Y147" s="1" t="s">
        <v>357</v>
      </c>
    </row>
    <row r="148" spans="16:25">
      <c r="P148" s="2" t="s">
        <v>554</v>
      </c>
      <c r="Q148" s="292" t="s">
        <v>36</v>
      </c>
      <c r="R148" s="2" t="s">
        <v>353</v>
      </c>
      <c r="S148" s="3">
        <v>255.2</v>
      </c>
      <c r="T148" s="11">
        <f t="shared" si="3"/>
        <v>1.9668896630391222E-3</v>
      </c>
      <c r="U148" s="1" t="s">
        <v>354</v>
      </c>
      <c r="V148" s="2"/>
      <c r="W148" s="2"/>
      <c r="X148" s="6" t="s">
        <v>356</v>
      </c>
      <c r="Y148" s="1" t="s">
        <v>357</v>
      </c>
    </row>
    <row r="149" spans="16:25">
      <c r="P149" s="2" t="s">
        <v>555</v>
      </c>
      <c r="Q149" s="292" t="s">
        <v>36</v>
      </c>
      <c r="R149" s="2" t="s">
        <v>353</v>
      </c>
      <c r="S149" s="3">
        <v>287.10000000000002</v>
      </c>
      <c r="T149" s="11">
        <f t="shared" si="3"/>
        <v>2.2127508709190126E-3</v>
      </c>
      <c r="U149" s="1" t="s">
        <v>354</v>
      </c>
      <c r="V149" s="2"/>
      <c r="W149" s="2"/>
      <c r="X149" s="6" t="s">
        <v>356</v>
      </c>
      <c r="Y149" s="1" t="s">
        <v>357</v>
      </c>
    </row>
    <row r="150" spans="16:25">
      <c r="P150" s="2" t="s">
        <v>556</v>
      </c>
      <c r="Q150" s="292" t="s">
        <v>36</v>
      </c>
      <c r="R150" s="2" t="s">
        <v>353</v>
      </c>
      <c r="S150" s="3">
        <v>287.10000000000002</v>
      </c>
      <c r="T150" s="11">
        <f t="shared" si="3"/>
        <v>2.2127508709190126E-3</v>
      </c>
      <c r="U150" s="1" t="s">
        <v>354</v>
      </c>
      <c r="V150" s="2"/>
      <c r="W150" s="2"/>
      <c r="X150" s="6" t="s">
        <v>356</v>
      </c>
      <c r="Y150" s="1" t="s">
        <v>357</v>
      </c>
    </row>
    <row r="151" spans="16:25">
      <c r="P151" s="2" t="s">
        <v>557</v>
      </c>
      <c r="Q151" s="292" t="s">
        <v>36</v>
      </c>
      <c r="R151" s="2" t="s">
        <v>353</v>
      </c>
      <c r="S151" s="3">
        <v>271.14999999999998</v>
      </c>
      <c r="T151" s="11">
        <f t="shared" si="3"/>
        <v>2.0898202669790674E-3</v>
      </c>
      <c r="U151" s="1" t="s">
        <v>354</v>
      </c>
      <c r="V151" s="2"/>
      <c r="W151" s="2"/>
      <c r="X151" s="6" t="s">
        <v>356</v>
      </c>
      <c r="Y151" s="1" t="s">
        <v>357</v>
      </c>
    </row>
    <row r="152" spans="16:25">
      <c r="P152" s="2" t="s">
        <v>558</v>
      </c>
      <c r="Q152" s="292" t="s">
        <v>36</v>
      </c>
      <c r="R152" s="2" t="s">
        <v>353</v>
      </c>
      <c r="S152" s="3">
        <v>252.88</v>
      </c>
      <c r="T152" s="11">
        <f t="shared" si="3"/>
        <v>1.9490088479205848E-3</v>
      </c>
      <c r="U152" s="1" t="s">
        <v>354</v>
      </c>
      <c r="V152" s="2"/>
      <c r="W152" s="2"/>
      <c r="X152" s="6" t="s">
        <v>356</v>
      </c>
      <c r="Y152" s="1" t="s">
        <v>357</v>
      </c>
    </row>
    <row r="153" spans="16:25">
      <c r="P153" s="2" t="s">
        <v>559</v>
      </c>
      <c r="Q153" s="292" t="s">
        <v>36</v>
      </c>
      <c r="R153" s="2" t="s">
        <v>353</v>
      </c>
      <c r="S153" s="3">
        <v>252.88</v>
      </c>
      <c r="T153" s="11">
        <f t="shared" si="3"/>
        <v>1.9490088479205848E-3</v>
      </c>
      <c r="U153" s="1" t="s">
        <v>354</v>
      </c>
      <c r="V153" s="2"/>
      <c r="W153" s="2"/>
      <c r="X153" s="6" t="s">
        <v>356</v>
      </c>
      <c r="Y153" s="1" t="s">
        <v>357</v>
      </c>
    </row>
    <row r="154" spans="16:25">
      <c r="P154" s="2" t="s">
        <v>560</v>
      </c>
      <c r="Q154" s="292" t="s">
        <v>36</v>
      </c>
      <c r="R154" s="2" t="s">
        <v>353</v>
      </c>
      <c r="S154" s="3">
        <v>271.14999999999998</v>
      </c>
      <c r="T154" s="11">
        <f t="shared" si="3"/>
        <v>2.0898202669790674E-3</v>
      </c>
      <c r="U154" s="1" t="s">
        <v>354</v>
      </c>
      <c r="V154" s="2"/>
      <c r="W154" s="2"/>
      <c r="X154" s="6" t="s">
        <v>356</v>
      </c>
      <c r="Y154" s="1" t="s">
        <v>357</v>
      </c>
    </row>
    <row r="155" spans="16:25">
      <c r="P155" s="2" t="s">
        <v>561</v>
      </c>
      <c r="Q155" s="292" t="s">
        <v>36</v>
      </c>
      <c r="R155" s="2" t="s">
        <v>353</v>
      </c>
      <c r="S155" s="3">
        <v>271.14999999999998</v>
      </c>
      <c r="T155" s="11">
        <f t="shared" si="3"/>
        <v>2.0898202669790674E-3</v>
      </c>
      <c r="U155" s="1" t="s">
        <v>354</v>
      </c>
      <c r="V155" s="2"/>
      <c r="W155" s="2"/>
      <c r="X155" s="6" t="s">
        <v>356</v>
      </c>
      <c r="Y155" s="1" t="s">
        <v>357</v>
      </c>
    </row>
    <row r="156" spans="16:25">
      <c r="P156" s="2" t="s">
        <v>562</v>
      </c>
      <c r="Q156" s="292" t="s">
        <v>36</v>
      </c>
      <c r="R156" s="2" t="s">
        <v>353</v>
      </c>
      <c r="S156" s="3">
        <v>287.10000000000002</v>
      </c>
      <c r="T156" s="11">
        <f t="shared" si="3"/>
        <v>2.2127508709190126E-3</v>
      </c>
      <c r="U156" s="1" t="s">
        <v>354</v>
      </c>
      <c r="V156" s="2"/>
      <c r="W156" s="2"/>
      <c r="X156" s="6" t="s">
        <v>356</v>
      </c>
      <c r="Y156" s="1" t="s">
        <v>357</v>
      </c>
    </row>
    <row r="157" spans="16:25">
      <c r="P157" s="2" t="s">
        <v>563</v>
      </c>
      <c r="Q157" s="292" t="s">
        <v>36</v>
      </c>
      <c r="R157" s="2" t="s">
        <v>353</v>
      </c>
      <c r="S157" s="3">
        <v>271.14999999999998</v>
      </c>
      <c r="T157" s="11">
        <f t="shared" si="3"/>
        <v>2.0898202669790674E-3</v>
      </c>
      <c r="U157" s="1" t="s">
        <v>354</v>
      </c>
      <c r="V157" s="2"/>
      <c r="W157" s="2"/>
      <c r="X157" s="6" t="s">
        <v>356</v>
      </c>
      <c r="Y157" s="1" t="s">
        <v>357</v>
      </c>
    </row>
    <row r="158" spans="16:25">
      <c r="P158" s="2" t="s">
        <v>564</v>
      </c>
      <c r="Q158" s="292" t="s">
        <v>36</v>
      </c>
      <c r="R158" s="2" t="s">
        <v>353</v>
      </c>
      <c r="S158" s="3">
        <v>287.10000000000002</v>
      </c>
      <c r="T158" s="11">
        <f t="shared" ref="T158:T221" si="4">S158/$B$2</f>
        <v>2.2127508709190126E-3</v>
      </c>
      <c r="U158" s="1" t="s">
        <v>354</v>
      </c>
      <c r="V158" s="2"/>
      <c r="W158" s="2"/>
      <c r="X158" s="6" t="s">
        <v>356</v>
      </c>
      <c r="Y158" s="1" t="s">
        <v>357</v>
      </c>
    </row>
    <row r="159" spans="16:25">
      <c r="P159" s="2" t="s">
        <v>565</v>
      </c>
      <c r="Q159" s="292" t="s">
        <v>36</v>
      </c>
      <c r="R159" s="2" t="s">
        <v>353</v>
      </c>
      <c r="S159" s="3">
        <v>287.10000000000002</v>
      </c>
      <c r="T159" s="11">
        <f t="shared" si="4"/>
        <v>2.2127508709190126E-3</v>
      </c>
      <c r="U159" s="1" t="s">
        <v>354</v>
      </c>
      <c r="V159" s="2"/>
      <c r="W159" s="2"/>
      <c r="X159" s="6" t="s">
        <v>356</v>
      </c>
      <c r="Y159" s="1" t="s">
        <v>357</v>
      </c>
    </row>
    <row r="160" spans="16:25">
      <c r="P160" s="2" t="s">
        <v>566</v>
      </c>
      <c r="Q160" s="292" t="s">
        <v>36</v>
      </c>
      <c r="R160" s="2" t="s">
        <v>353</v>
      </c>
      <c r="S160" s="3">
        <v>287.10000000000002</v>
      </c>
      <c r="T160" s="11">
        <f t="shared" si="4"/>
        <v>2.2127508709190126E-3</v>
      </c>
      <c r="U160" s="1" t="s">
        <v>354</v>
      </c>
      <c r="V160" s="2"/>
      <c r="W160" s="2"/>
      <c r="X160" s="6" t="s">
        <v>356</v>
      </c>
      <c r="Y160" s="1" t="s">
        <v>357</v>
      </c>
    </row>
    <row r="161" spans="16:25">
      <c r="P161" s="2" t="s">
        <v>567</v>
      </c>
      <c r="Q161" s="292" t="s">
        <v>36</v>
      </c>
      <c r="R161" s="2" t="s">
        <v>353</v>
      </c>
      <c r="S161" s="3">
        <v>287.10000000000002</v>
      </c>
      <c r="T161" s="11">
        <f t="shared" si="4"/>
        <v>2.2127508709190126E-3</v>
      </c>
      <c r="U161" s="1" t="s">
        <v>354</v>
      </c>
      <c r="V161" s="2"/>
      <c r="W161" s="2"/>
      <c r="X161" s="6" t="s">
        <v>356</v>
      </c>
      <c r="Y161" s="1" t="s">
        <v>357</v>
      </c>
    </row>
    <row r="162" spans="16:25">
      <c r="P162" s="2" t="s">
        <v>568</v>
      </c>
      <c r="Q162" s="292" t="s">
        <v>36</v>
      </c>
      <c r="R162" s="2" t="s">
        <v>353</v>
      </c>
      <c r="S162" s="3">
        <v>255.2</v>
      </c>
      <c r="T162" s="11">
        <f t="shared" si="4"/>
        <v>1.9668896630391222E-3</v>
      </c>
      <c r="U162" s="1" t="s">
        <v>354</v>
      </c>
      <c r="V162" s="2"/>
      <c r="W162" s="2"/>
      <c r="X162" s="6" t="s">
        <v>356</v>
      </c>
      <c r="Y162" s="1" t="s">
        <v>357</v>
      </c>
    </row>
    <row r="163" spans="16:25">
      <c r="P163" s="2" t="s">
        <v>569</v>
      </c>
      <c r="Q163" s="10" t="s">
        <v>36</v>
      </c>
      <c r="R163" s="2" t="s">
        <v>353</v>
      </c>
      <c r="S163" s="3">
        <v>255.2</v>
      </c>
      <c r="T163" s="11">
        <f t="shared" si="4"/>
        <v>1.9668896630391222E-3</v>
      </c>
      <c r="U163" s="1" t="s">
        <v>354</v>
      </c>
      <c r="V163" s="2"/>
      <c r="W163" s="2"/>
      <c r="X163" s="6" t="s">
        <v>356</v>
      </c>
      <c r="Y163" s="1" t="s">
        <v>357</v>
      </c>
    </row>
    <row r="164" spans="16:25">
      <c r="P164" s="2" t="s">
        <v>570</v>
      </c>
      <c r="Q164" s="10" t="s">
        <v>36</v>
      </c>
      <c r="R164" s="2" t="s">
        <v>353</v>
      </c>
      <c r="S164" s="3">
        <v>255.2</v>
      </c>
      <c r="T164" s="11">
        <f t="shared" si="4"/>
        <v>1.9668896630391222E-3</v>
      </c>
      <c r="U164" s="1" t="s">
        <v>354</v>
      </c>
      <c r="V164" s="2"/>
      <c r="W164" s="2"/>
      <c r="X164" s="6" t="s">
        <v>356</v>
      </c>
      <c r="Y164" s="1" t="s">
        <v>357</v>
      </c>
    </row>
    <row r="165" spans="16:25">
      <c r="P165" s="2" t="s">
        <v>571</v>
      </c>
      <c r="Q165" s="10" t="s">
        <v>36</v>
      </c>
      <c r="R165" s="2" t="s">
        <v>353</v>
      </c>
      <c r="S165" s="3">
        <v>223.3</v>
      </c>
      <c r="T165" s="11">
        <f t="shared" si="4"/>
        <v>1.721028455159232E-3</v>
      </c>
      <c r="U165" s="1" t="s">
        <v>354</v>
      </c>
      <c r="V165" s="2"/>
      <c r="W165" s="2"/>
      <c r="X165" s="6" t="s">
        <v>356</v>
      </c>
      <c r="Y165" s="1" t="s">
        <v>357</v>
      </c>
    </row>
    <row r="166" spans="16:25">
      <c r="P166" s="2" t="s">
        <v>572</v>
      </c>
      <c r="Q166" s="10" t="s">
        <v>36</v>
      </c>
      <c r="R166" s="2" t="s">
        <v>353</v>
      </c>
      <c r="S166" s="3">
        <v>252.88</v>
      </c>
      <c r="T166" s="11">
        <f t="shared" si="4"/>
        <v>1.9490088479205848E-3</v>
      </c>
      <c r="U166" s="1" t="s">
        <v>354</v>
      </c>
      <c r="V166" s="2"/>
      <c r="W166" s="2"/>
      <c r="X166" s="6" t="s">
        <v>356</v>
      </c>
      <c r="Y166" s="1" t="s">
        <v>357</v>
      </c>
    </row>
    <row r="167" spans="16:25">
      <c r="P167" s="2" t="s">
        <v>573</v>
      </c>
      <c r="Q167" s="10" t="s">
        <v>36</v>
      </c>
      <c r="R167" s="2" t="s">
        <v>353</v>
      </c>
      <c r="S167" s="3">
        <v>223.3</v>
      </c>
      <c r="T167" s="11">
        <f t="shared" si="4"/>
        <v>1.721028455159232E-3</v>
      </c>
      <c r="U167" s="1" t="s">
        <v>354</v>
      </c>
      <c r="V167" s="2"/>
      <c r="W167" s="2"/>
      <c r="X167" s="6" t="s">
        <v>356</v>
      </c>
      <c r="Y167" s="1" t="s">
        <v>357</v>
      </c>
    </row>
    <row r="168" spans="16:25">
      <c r="P168" s="2" t="s">
        <v>574</v>
      </c>
      <c r="Q168" s="10" t="s">
        <v>36</v>
      </c>
      <c r="R168" s="2" t="s">
        <v>353</v>
      </c>
      <c r="S168" s="3">
        <v>189.66</v>
      </c>
      <c r="T168" s="11">
        <f t="shared" si="4"/>
        <v>1.4617566359404386E-3</v>
      </c>
      <c r="U168" s="1" t="s">
        <v>354</v>
      </c>
      <c r="V168" s="2"/>
      <c r="W168" s="2"/>
      <c r="X168" s="6" t="s">
        <v>356</v>
      </c>
      <c r="Y168" s="1" t="s">
        <v>357</v>
      </c>
    </row>
    <row r="169" spans="16:25">
      <c r="P169" s="2" t="s">
        <v>575</v>
      </c>
      <c r="Q169" s="10" t="s">
        <v>36</v>
      </c>
      <c r="R169" s="2" t="s">
        <v>353</v>
      </c>
      <c r="S169" s="3">
        <v>252.88</v>
      </c>
      <c r="T169" s="11">
        <f t="shared" si="4"/>
        <v>1.9490088479205848E-3</v>
      </c>
      <c r="U169" s="1" t="s">
        <v>354</v>
      </c>
      <c r="V169" s="2"/>
      <c r="W169" s="2"/>
      <c r="X169" s="6" t="s">
        <v>356</v>
      </c>
      <c r="Y169" s="1" t="s">
        <v>357</v>
      </c>
    </row>
    <row r="170" spans="16:25">
      <c r="P170" s="2" t="s">
        <v>576</v>
      </c>
      <c r="Q170" s="10" t="s">
        <v>36</v>
      </c>
      <c r="R170" s="2" t="s">
        <v>353</v>
      </c>
      <c r="S170" s="3">
        <v>252.88</v>
      </c>
      <c r="T170" s="11">
        <f t="shared" si="4"/>
        <v>1.9490088479205848E-3</v>
      </c>
      <c r="U170" s="1" t="s">
        <v>354</v>
      </c>
      <c r="V170" s="2"/>
      <c r="W170" s="2"/>
      <c r="X170" s="6" t="s">
        <v>356</v>
      </c>
      <c r="Y170" s="1" t="s">
        <v>357</v>
      </c>
    </row>
    <row r="171" spans="16:25">
      <c r="P171" s="2" t="s">
        <v>577</v>
      </c>
      <c r="Q171" s="10" t="s">
        <v>36</v>
      </c>
      <c r="R171" s="2" t="s">
        <v>353</v>
      </c>
      <c r="S171" s="3">
        <v>221.27</v>
      </c>
      <c r="T171" s="11">
        <f t="shared" si="4"/>
        <v>1.7053827419305117E-3</v>
      </c>
      <c r="U171" s="1" t="s">
        <v>354</v>
      </c>
      <c r="V171" s="2"/>
      <c r="W171" s="2"/>
      <c r="X171" s="6" t="s">
        <v>356</v>
      </c>
      <c r="Y171" s="1" t="s">
        <v>357</v>
      </c>
    </row>
    <row r="172" spans="16:25">
      <c r="P172" s="2" t="s">
        <v>578</v>
      </c>
      <c r="Q172" s="10" t="s">
        <v>36</v>
      </c>
      <c r="R172" s="2" t="s">
        <v>353</v>
      </c>
      <c r="S172" s="3">
        <v>252.88</v>
      </c>
      <c r="T172" s="11">
        <f t="shared" si="4"/>
        <v>1.9490088479205848E-3</v>
      </c>
      <c r="U172" s="1" t="s">
        <v>354</v>
      </c>
      <c r="V172" s="2"/>
      <c r="W172" s="2"/>
      <c r="X172" s="6" t="s">
        <v>356</v>
      </c>
      <c r="Y172" s="1" t="s">
        <v>357</v>
      </c>
    </row>
    <row r="173" spans="16:25">
      <c r="P173" s="2" t="s">
        <v>579</v>
      </c>
      <c r="Q173" s="10" t="s">
        <v>36</v>
      </c>
      <c r="R173" s="2" t="s">
        <v>353</v>
      </c>
      <c r="S173" s="3">
        <v>252.88</v>
      </c>
      <c r="T173" s="11">
        <f t="shared" si="4"/>
        <v>1.9490088479205848E-3</v>
      </c>
      <c r="U173" s="1" t="s">
        <v>354</v>
      </c>
      <c r="V173" s="2"/>
      <c r="W173" s="2"/>
      <c r="X173" s="6" t="s">
        <v>356</v>
      </c>
      <c r="Y173" s="1" t="s">
        <v>357</v>
      </c>
    </row>
    <row r="174" spans="16:25">
      <c r="P174" s="2" t="s">
        <v>580</v>
      </c>
      <c r="Q174" s="10" t="s">
        <v>36</v>
      </c>
      <c r="R174" s="2" t="s">
        <v>353</v>
      </c>
      <c r="S174" s="3">
        <v>221.27</v>
      </c>
      <c r="T174" s="11">
        <f t="shared" si="4"/>
        <v>1.7053827419305117E-3</v>
      </c>
      <c r="U174" s="1" t="s">
        <v>354</v>
      </c>
      <c r="V174" s="2"/>
      <c r="W174" s="2"/>
      <c r="X174" s="6" t="s">
        <v>356</v>
      </c>
      <c r="Y174" s="1" t="s">
        <v>357</v>
      </c>
    </row>
    <row r="175" spans="16:25">
      <c r="P175" s="2" t="s">
        <v>581</v>
      </c>
      <c r="Q175" s="10" t="s">
        <v>36</v>
      </c>
      <c r="R175" s="2" t="s">
        <v>353</v>
      </c>
      <c r="S175" s="3">
        <v>221.27</v>
      </c>
      <c r="T175" s="11">
        <f t="shared" si="4"/>
        <v>1.7053827419305117E-3</v>
      </c>
      <c r="U175" s="1" t="s">
        <v>354</v>
      </c>
      <c r="V175" s="2"/>
      <c r="W175" s="2"/>
      <c r="X175" s="6" t="s">
        <v>356</v>
      </c>
      <c r="Y175" s="1" t="s">
        <v>357</v>
      </c>
    </row>
    <row r="176" spans="16:25">
      <c r="P176" s="2" t="s">
        <v>582</v>
      </c>
      <c r="Q176" s="10" t="s">
        <v>36</v>
      </c>
      <c r="R176" s="2" t="s">
        <v>353</v>
      </c>
      <c r="S176" s="3">
        <v>252.88</v>
      </c>
      <c r="T176" s="11">
        <f t="shared" si="4"/>
        <v>1.9490088479205848E-3</v>
      </c>
      <c r="U176" s="1" t="s">
        <v>354</v>
      </c>
      <c r="V176" s="2"/>
      <c r="W176" s="2"/>
      <c r="X176" s="6" t="s">
        <v>356</v>
      </c>
      <c r="Y176" s="1" t="s">
        <v>357</v>
      </c>
    </row>
    <row r="177" spans="16:25">
      <c r="P177" s="2" t="s">
        <v>583</v>
      </c>
      <c r="Q177" s="10" t="s">
        <v>36</v>
      </c>
      <c r="R177" s="2" t="s">
        <v>353</v>
      </c>
      <c r="S177" s="3">
        <v>221.27</v>
      </c>
      <c r="T177" s="11">
        <f t="shared" si="4"/>
        <v>1.7053827419305117E-3</v>
      </c>
      <c r="U177" s="1" t="s">
        <v>354</v>
      </c>
      <c r="V177" s="2"/>
      <c r="W177" s="2"/>
      <c r="X177" s="6" t="s">
        <v>356</v>
      </c>
      <c r="Y177" s="1" t="s">
        <v>357</v>
      </c>
    </row>
    <row r="178" spans="16:25">
      <c r="P178" s="2" t="s">
        <v>584</v>
      </c>
      <c r="Q178" s="10" t="s">
        <v>36</v>
      </c>
      <c r="R178" s="2" t="s">
        <v>353</v>
      </c>
      <c r="S178" s="3">
        <v>252.88</v>
      </c>
      <c r="T178" s="11">
        <f t="shared" si="4"/>
        <v>1.9490088479205848E-3</v>
      </c>
      <c r="U178" s="1" t="s">
        <v>354</v>
      </c>
      <c r="V178" s="2"/>
      <c r="W178" s="2"/>
      <c r="X178" s="6" t="s">
        <v>356</v>
      </c>
      <c r="Y178" s="1" t="s">
        <v>357</v>
      </c>
    </row>
    <row r="179" spans="16:25">
      <c r="P179" s="2" t="s">
        <v>585</v>
      </c>
      <c r="Q179" s="10" t="s">
        <v>36</v>
      </c>
      <c r="R179" s="2" t="s">
        <v>353</v>
      </c>
      <c r="S179" s="3">
        <v>252.88</v>
      </c>
      <c r="T179" s="11">
        <f t="shared" si="4"/>
        <v>1.9490088479205848E-3</v>
      </c>
      <c r="U179" s="1" t="s">
        <v>354</v>
      </c>
      <c r="V179" s="2"/>
      <c r="W179" s="2"/>
      <c r="X179" s="6" t="s">
        <v>356</v>
      </c>
      <c r="Y179" s="1" t="s">
        <v>357</v>
      </c>
    </row>
    <row r="180" spans="16:25">
      <c r="P180" s="2" t="s">
        <v>586</v>
      </c>
      <c r="Q180" s="10" t="s">
        <v>36</v>
      </c>
      <c r="R180" s="2" t="s">
        <v>353</v>
      </c>
      <c r="S180" s="3">
        <v>287.10000000000002</v>
      </c>
      <c r="T180" s="11">
        <f t="shared" si="4"/>
        <v>2.2127508709190126E-3</v>
      </c>
      <c r="U180" s="1" t="s">
        <v>354</v>
      </c>
      <c r="V180" s="2"/>
      <c r="W180" s="2"/>
      <c r="X180" s="6" t="s">
        <v>356</v>
      </c>
      <c r="Y180" s="1" t="s">
        <v>357</v>
      </c>
    </row>
    <row r="181" spans="16:25">
      <c r="P181" s="2" t="s">
        <v>587</v>
      </c>
      <c r="Q181" s="10" t="s">
        <v>36</v>
      </c>
      <c r="R181" s="2" t="s">
        <v>353</v>
      </c>
      <c r="S181" s="3">
        <v>252.88</v>
      </c>
      <c r="T181" s="11">
        <f t="shared" si="4"/>
        <v>1.9490088479205848E-3</v>
      </c>
      <c r="U181" s="1" t="s">
        <v>354</v>
      </c>
      <c r="V181" s="2"/>
      <c r="W181" s="2"/>
      <c r="X181" s="6" t="s">
        <v>356</v>
      </c>
      <c r="Y181" s="1" t="s">
        <v>357</v>
      </c>
    </row>
    <row r="182" spans="16:25">
      <c r="P182" s="2" t="s">
        <v>588</v>
      </c>
      <c r="Q182" s="10" t="s">
        <v>36</v>
      </c>
      <c r="R182" s="2" t="s">
        <v>353</v>
      </c>
      <c r="S182" s="3">
        <v>287.10000000000002</v>
      </c>
      <c r="T182" s="11">
        <f t="shared" si="4"/>
        <v>2.2127508709190126E-3</v>
      </c>
      <c r="U182" s="1" t="s">
        <v>354</v>
      </c>
      <c r="V182" s="2"/>
      <c r="W182" s="2"/>
      <c r="X182" s="6" t="s">
        <v>356</v>
      </c>
      <c r="Y182" s="1" t="s">
        <v>357</v>
      </c>
    </row>
    <row r="183" spans="16:25">
      <c r="P183" s="2" t="s">
        <v>589</v>
      </c>
      <c r="Q183" s="10" t="s">
        <v>36</v>
      </c>
      <c r="R183" s="2" t="s">
        <v>353</v>
      </c>
      <c r="S183" s="3">
        <v>255.2</v>
      </c>
      <c r="T183" s="11">
        <f t="shared" si="4"/>
        <v>1.9668896630391222E-3</v>
      </c>
      <c r="U183" s="1" t="s">
        <v>354</v>
      </c>
      <c r="V183" s="2"/>
      <c r="W183" s="2"/>
      <c r="X183" s="6" t="s">
        <v>356</v>
      </c>
      <c r="Y183" s="1" t="s">
        <v>357</v>
      </c>
    </row>
    <row r="184" spans="16:25">
      <c r="P184" s="2" t="s">
        <v>590</v>
      </c>
      <c r="Q184" s="10" t="s">
        <v>36</v>
      </c>
      <c r="R184" s="2" t="s">
        <v>353</v>
      </c>
      <c r="S184" s="3">
        <v>223.3</v>
      </c>
      <c r="T184" s="11">
        <f t="shared" si="4"/>
        <v>1.721028455159232E-3</v>
      </c>
      <c r="U184" s="1" t="s">
        <v>354</v>
      </c>
      <c r="V184" s="2"/>
      <c r="W184" s="2"/>
      <c r="X184" s="6" t="s">
        <v>356</v>
      </c>
      <c r="Y184" s="1" t="s">
        <v>357</v>
      </c>
    </row>
    <row r="185" spans="16:25">
      <c r="P185" s="2" t="s">
        <v>591</v>
      </c>
      <c r="Q185" s="10" t="s">
        <v>36</v>
      </c>
      <c r="R185" s="2" t="s">
        <v>353</v>
      </c>
      <c r="S185" s="3">
        <v>221.27</v>
      </c>
      <c r="T185" s="11">
        <f t="shared" si="4"/>
        <v>1.7053827419305117E-3</v>
      </c>
      <c r="U185" s="1" t="s">
        <v>354</v>
      </c>
      <c r="V185" s="2"/>
      <c r="W185" s="2"/>
      <c r="X185" s="6" t="s">
        <v>356</v>
      </c>
      <c r="Y185" s="1" t="s">
        <v>357</v>
      </c>
    </row>
    <row r="186" spans="16:25">
      <c r="P186" s="2" t="s">
        <v>592</v>
      </c>
      <c r="Q186" s="10" t="s">
        <v>36</v>
      </c>
      <c r="R186" s="2" t="s">
        <v>353</v>
      </c>
      <c r="S186" s="3">
        <v>255.2</v>
      </c>
      <c r="T186" s="11">
        <f t="shared" si="4"/>
        <v>1.9668896630391222E-3</v>
      </c>
      <c r="U186" s="1" t="s">
        <v>354</v>
      </c>
      <c r="V186" s="2"/>
      <c r="W186" s="2"/>
      <c r="X186" s="6" t="s">
        <v>356</v>
      </c>
      <c r="Y186" s="1" t="s">
        <v>357</v>
      </c>
    </row>
    <row r="187" spans="16:25">
      <c r="P187" s="2" t="s">
        <v>593</v>
      </c>
      <c r="Q187" s="10" t="s">
        <v>36</v>
      </c>
      <c r="R187" s="2" t="s">
        <v>353</v>
      </c>
      <c r="S187" s="3">
        <v>223.3</v>
      </c>
      <c r="T187" s="11">
        <f t="shared" si="4"/>
        <v>1.721028455159232E-3</v>
      </c>
      <c r="U187" s="1" t="s">
        <v>354</v>
      </c>
      <c r="V187" s="2"/>
      <c r="W187" s="2"/>
      <c r="X187" s="6" t="s">
        <v>356</v>
      </c>
      <c r="Y187" s="1" t="s">
        <v>357</v>
      </c>
    </row>
    <row r="188" spans="16:25">
      <c r="P188" s="2" t="s">
        <v>594</v>
      </c>
      <c r="Q188" s="10" t="s">
        <v>36</v>
      </c>
      <c r="R188" s="2" t="s">
        <v>353</v>
      </c>
      <c r="S188" s="3">
        <v>223.3</v>
      </c>
      <c r="T188" s="11">
        <f t="shared" si="4"/>
        <v>1.721028455159232E-3</v>
      </c>
      <c r="U188" s="1" t="s">
        <v>354</v>
      </c>
      <c r="V188" s="2"/>
      <c r="W188" s="2"/>
      <c r="X188" s="6" t="s">
        <v>356</v>
      </c>
      <c r="Y188" s="1" t="s">
        <v>357</v>
      </c>
    </row>
    <row r="189" spans="16:25">
      <c r="P189" s="2" t="s">
        <v>595</v>
      </c>
      <c r="Q189" s="10" t="s">
        <v>36</v>
      </c>
      <c r="R189" s="2" t="s">
        <v>353</v>
      </c>
      <c r="S189" s="3">
        <v>255.2</v>
      </c>
      <c r="T189" s="11">
        <f t="shared" si="4"/>
        <v>1.9668896630391222E-3</v>
      </c>
      <c r="U189" s="1" t="s">
        <v>354</v>
      </c>
      <c r="V189" s="2"/>
      <c r="W189" s="2"/>
      <c r="X189" s="6" t="s">
        <v>356</v>
      </c>
      <c r="Y189" s="1" t="s">
        <v>357</v>
      </c>
    </row>
    <row r="190" spans="16:25">
      <c r="P190" s="2" t="s">
        <v>596</v>
      </c>
      <c r="Q190" s="10" t="s">
        <v>36</v>
      </c>
      <c r="R190" s="2" t="s">
        <v>353</v>
      </c>
      <c r="S190" s="3">
        <v>223.3</v>
      </c>
      <c r="T190" s="11">
        <f t="shared" si="4"/>
        <v>1.721028455159232E-3</v>
      </c>
      <c r="U190" s="1" t="s">
        <v>354</v>
      </c>
      <c r="V190" s="2"/>
      <c r="W190" s="2"/>
      <c r="X190" s="6" t="s">
        <v>356</v>
      </c>
      <c r="Y190" s="1" t="s">
        <v>357</v>
      </c>
    </row>
    <row r="191" spans="16:25">
      <c r="P191" s="2" t="s">
        <v>597</v>
      </c>
      <c r="Q191" s="10" t="s">
        <v>36</v>
      </c>
      <c r="R191" s="2" t="s">
        <v>353</v>
      </c>
      <c r="S191" s="3">
        <v>287.10000000000002</v>
      </c>
      <c r="T191" s="11">
        <f t="shared" si="4"/>
        <v>2.2127508709190126E-3</v>
      </c>
      <c r="U191" s="1" t="s">
        <v>354</v>
      </c>
      <c r="V191" s="2"/>
      <c r="W191" s="2"/>
      <c r="X191" s="6" t="s">
        <v>356</v>
      </c>
      <c r="Y191" s="1" t="s">
        <v>357</v>
      </c>
    </row>
    <row r="192" spans="16:25">
      <c r="P192" s="2" t="s">
        <v>598</v>
      </c>
      <c r="Q192" s="10" t="s">
        <v>36</v>
      </c>
      <c r="R192" s="2" t="s">
        <v>353</v>
      </c>
      <c r="S192" s="3">
        <v>287.10000000000002</v>
      </c>
      <c r="T192" s="11">
        <f t="shared" si="4"/>
        <v>2.2127508709190126E-3</v>
      </c>
      <c r="U192" s="1" t="s">
        <v>354</v>
      </c>
      <c r="V192" s="2"/>
      <c r="W192" s="2"/>
      <c r="X192" s="6" t="s">
        <v>356</v>
      </c>
      <c r="Y192" s="1" t="s">
        <v>357</v>
      </c>
    </row>
    <row r="193" spans="16:25">
      <c r="P193" s="2" t="s">
        <v>599</v>
      </c>
      <c r="Q193" s="10" t="s">
        <v>36</v>
      </c>
      <c r="R193" s="2" t="s">
        <v>353</v>
      </c>
      <c r="S193" s="3">
        <v>287.10000000000002</v>
      </c>
      <c r="T193" s="11">
        <f t="shared" si="4"/>
        <v>2.2127508709190126E-3</v>
      </c>
      <c r="U193" s="1" t="s">
        <v>354</v>
      </c>
      <c r="V193" s="2"/>
      <c r="W193" s="2"/>
      <c r="X193" s="6" t="s">
        <v>356</v>
      </c>
      <c r="Y193" s="1" t="s">
        <v>357</v>
      </c>
    </row>
    <row r="194" spans="16:25">
      <c r="P194" s="2" t="s">
        <v>600</v>
      </c>
      <c r="Q194" s="10" t="s">
        <v>36</v>
      </c>
      <c r="R194" s="2" t="s">
        <v>353</v>
      </c>
      <c r="S194" s="3">
        <v>252.88</v>
      </c>
      <c r="T194" s="11">
        <f t="shared" si="4"/>
        <v>1.9490088479205848E-3</v>
      </c>
      <c r="U194" s="1" t="s">
        <v>354</v>
      </c>
      <c r="V194" s="2"/>
      <c r="W194" s="2"/>
      <c r="X194" s="6" t="s">
        <v>356</v>
      </c>
      <c r="Y194" s="1" t="s">
        <v>357</v>
      </c>
    </row>
    <row r="195" spans="16:25">
      <c r="P195" s="2" t="s">
        <v>601</v>
      </c>
      <c r="Q195" s="10" t="s">
        <v>36</v>
      </c>
      <c r="R195" s="2" t="s">
        <v>353</v>
      </c>
      <c r="S195" s="3">
        <v>287.10000000000002</v>
      </c>
      <c r="T195" s="11">
        <f t="shared" si="4"/>
        <v>2.2127508709190126E-3</v>
      </c>
      <c r="U195" s="1" t="s">
        <v>354</v>
      </c>
      <c r="V195" s="2"/>
      <c r="W195" s="2"/>
      <c r="X195" s="6" t="s">
        <v>356</v>
      </c>
      <c r="Y195" s="1" t="s">
        <v>357</v>
      </c>
    </row>
    <row r="196" spans="16:25">
      <c r="P196" s="2" t="s">
        <v>602</v>
      </c>
      <c r="Q196" s="10" t="s">
        <v>36</v>
      </c>
      <c r="R196" s="2" t="s">
        <v>353</v>
      </c>
      <c r="S196" s="3">
        <v>271.14999999999998</v>
      </c>
      <c r="T196" s="11">
        <f t="shared" si="4"/>
        <v>2.0898202669790674E-3</v>
      </c>
      <c r="U196" s="1" t="s">
        <v>354</v>
      </c>
      <c r="V196" s="2"/>
      <c r="W196" s="2"/>
      <c r="X196" s="6" t="s">
        <v>356</v>
      </c>
      <c r="Y196" s="1" t="s">
        <v>357</v>
      </c>
    </row>
    <row r="197" spans="16:25">
      <c r="P197" s="2" t="s">
        <v>603</v>
      </c>
      <c r="Q197" s="10" t="s">
        <v>36</v>
      </c>
      <c r="R197" s="2" t="s">
        <v>353</v>
      </c>
      <c r="S197" s="3">
        <v>287.10000000000002</v>
      </c>
      <c r="T197" s="11">
        <f t="shared" si="4"/>
        <v>2.2127508709190126E-3</v>
      </c>
      <c r="U197" s="1" t="s">
        <v>354</v>
      </c>
      <c r="V197" s="2"/>
      <c r="W197" s="2"/>
      <c r="X197" s="6" t="s">
        <v>356</v>
      </c>
      <c r="Y197" s="1" t="s">
        <v>357</v>
      </c>
    </row>
    <row r="198" spans="16:25">
      <c r="P198" s="2" t="s">
        <v>604</v>
      </c>
      <c r="Q198" s="10" t="s">
        <v>36</v>
      </c>
      <c r="R198" s="2" t="s">
        <v>353</v>
      </c>
      <c r="S198" s="3">
        <v>287.10000000000002</v>
      </c>
      <c r="T198" s="11">
        <f t="shared" si="4"/>
        <v>2.2127508709190126E-3</v>
      </c>
      <c r="U198" s="1" t="s">
        <v>354</v>
      </c>
      <c r="V198" s="2"/>
      <c r="W198" s="2"/>
      <c r="X198" s="6" t="s">
        <v>356</v>
      </c>
      <c r="Y198" s="1" t="s">
        <v>357</v>
      </c>
    </row>
    <row r="199" spans="16:25">
      <c r="P199" s="2" t="s">
        <v>605</v>
      </c>
      <c r="Q199" s="10" t="s">
        <v>36</v>
      </c>
      <c r="R199" s="2" t="s">
        <v>353</v>
      </c>
      <c r="S199" s="3">
        <v>287.10000000000002</v>
      </c>
      <c r="T199" s="11">
        <f t="shared" si="4"/>
        <v>2.2127508709190126E-3</v>
      </c>
      <c r="U199" s="1" t="s">
        <v>354</v>
      </c>
      <c r="V199" s="2"/>
      <c r="W199" s="2"/>
      <c r="X199" s="6" t="s">
        <v>356</v>
      </c>
      <c r="Y199" s="1" t="s">
        <v>357</v>
      </c>
    </row>
    <row r="200" spans="16:25">
      <c r="P200" s="2" t="s">
        <v>606</v>
      </c>
      <c r="Q200" s="10" t="s">
        <v>36</v>
      </c>
      <c r="R200" s="2" t="s">
        <v>353</v>
      </c>
      <c r="S200" s="3">
        <v>287.10000000000002</v>
      </c>
      <c r="T200" s="11">
        <f t="shared" si="4"/>
        <v>2.2127508709190126E-3</v>
      </c>
      <c r="U200" s="1" t="s">
        <v>354</v>
      </c>
      <c r="V200" s="2"/>
      <c r="W200" s="2"/>
      <c r="X200" s="6" t="s">
        <v>356</v>
      </c>
      <c r="Y200" s="1" t="s">
        <v>357</v>
      </c>
    </row>
    <row r="201" spans="16:25">
      <c r="P201" s="2" t="s">
        <v>607</v>
      </c>
      <c r="Q201" s="10" t="s">
        <v>36</v>
      </c>
      <c r="R201" s="2" t="s">
        <v>353</v>
      </c>
      <c r="S201" s="3">
        <v>287.10000000000002</v>
      </c>
      <c r="T201" s="11">
        <f t="shared" si="4"/>
        <v>2.2127508709190126E-3</v>
      </c>
      <c r="U201" s="1" t="s">
        <v>354</v>
      </c>
      <c r="V201" s="2"/>
      <c r="W201" s="2"/>
      <c r="X201" s="6" t="s">
        <v>356</v>
      </c>
      <c r="Y201" s="1" t="s">
        <v>357</v>
      </c>
    </row>
    <row r="202" spans="16:25">
      <c r="P202" s="2" t="s">
        <v>608</v>
      </c>
      <c r="Q202" s="10" t="s">
        <v>36</v>
      </c>
      <c r="R202" s="2" t="s">
        <v>353</v>
      </c>
      <c r="S202" s="3">
        <v>255.2</v>
      </c>
      <c r="T202" s="11">
        <f t="shared" si="4"/>
        <v>1.9668896630391222E-3</v>
      </c>
      <c r="U202" s="1" t="s">
        <v>354</v>
      </c>
      <c r="V202" s="2"/>
      <c r="W202" s="2"/>
      <c r="X202" s="6" t="s">
        <v>356</v>
      </c>
      <c r="Y202" s="1" t="s">
        <v>357</v>
      </c>
    </row>
    <row r="203" spans="16:25">
      <c r="P203" s="2" t="s">
        <v>609</v>
      </c>
      <c r="Q203" s="10" t="s">
        <v>36</v>
      </c>
      <c r="R203" s="2" t="s">
        <v>353</v>
      </c>
      <c r="S203" s="3">
        <v>287.10000000000002</v>
      </c>
      <c r="T203" s="11">
        <f t="shared" si="4"/>
        <v>2.2127508709190126E-3</v>
      </c>
      <c r="U203" s="1" t="s">
        <v>354</v>
      </c>
      <c r="V203" s="2"/>
      <c r="W203" s="2"/>
      <c r="X203" s="6" t="s">
        <v>356</v>
      </c>
      <c r="Y203" s="1" t="s">
        <v>357</v>
      </c>
    </row>
    <row r="204" spans="16:25">
      <c r="P204" s="2" t="s">
        <v>610</v>
      </c>
      <c r="Q204" s="10" t="s">
        <v>36</v>
      </c>
      <c r="R204" s="2" t="s">
        <v>353</v>
      </c>
      <c r="S204" s="3">
        <v>287.10000000000002</v>
      </c>
      <c r="T204" s="11">
        <f t="shared" si="4"/>
        <v>2.2127508709190126E-3</v>
      </c>
      <c r="U204" s="1" t="s">
        <v>354</v>
      </c>
      <c r="V204" s="2"/>
      <c r="W204" s="2"/>
      <c r="X204" s="6" t="s">
        <v>356</v>
      </c>
      <c r="Y204" s="1" t="s">
        <v>357</v>
      </c>
    </row>
    <row r="205" spans="16:25">
      <c r="P205" s="2" t="s">
        <v>611</v>
      </c>
      <c r="Q205" s="10" t="s">
        <v>36</v>
      </c>
      <c r="R205" s="2" t="s">
        <v>353</v>
      </c>
      <c r="S205" s="3">
        <v>223.3</v>
      </c>
      <c r="T205" s="11">
        <f t="shared" si="4"/>
        <v>1.721028455159232E-3</v>
      </c>
      <c r="U205" s="1" t="s">
        <v>354</v>
      </c>
      <c r="V205" s="2"/>
      <c r="W205" s="2"/>
      <c r="X205" s="6" t="s">
        <v>356</v>
      </c>
      <c r="Y205" s="1" t="s">
        <v>357</v>
      </c>
    </row>
    <row r="206" spans="16:25">
      <c r="P206" s="2" t="s">
        <v>612</v>
      </c>
      <c r="Q206" s="10" t="s">
        <v>36</v>
      </c>
      <c r="R206" s="2" t="s">
        <v>353</v>
      </c>
      <c r="S206" s="3">
        <v>223.3</v>
      </c>
      <c r="T206" s="11">
        <f t="shared" si="4"/>
        <v>1.721028455159232E-3</v>
      </c>
      <c r="U206" s="1" t="s">
        <v>354</v>
      </c>
      <c r="V206" s="2"/>
      <c r="W206" s="2"/>
      <c r="X206" s="6" t="s">
        <v>356</v>
      </c>
      <c r="Y206" s="1" t="s">
        <v>357</v>
      </c>
    </row>
    <row r="207" spans="16:25">
      <c r="P207" s="2" t="s">
        <v>613</v>
      </c>
      <c r="Q207" s="10" t="s">
        <v>36</v>
      </c>
      <c r="R207" s="2" t="s">
        <v>353</v>
      </c>
      <c r="S207" s="3">
        <v>287.10000000000002</v>
      </c>
      <c r="T207" s="11">
        <f t="shared" si="4"/>
        <v>2.2127508709190126E-3</v>
      </c>
      <c r="U207" s="1" t="s">
        <v>354</v>
      </c>
      <c r="V207" s="2"/>
      <c r="W207" s="2"/>
      <c r="X207" s="6" t="s">
        <v>356</v>
      </c>
      <c r="Y207" s="1" t="s">
        <v>357</v>
      </c>
    </row>
    <row r="208" spans="16:25">
      <c r="P208" s="2" t="s">
        <v>614</v>
      </c>
      <c r="Q208" s="10" t="s">
        <v>36</v>
      </c>
      <c r="R208" s="2" t="s">
        <v>353</v>
      </c>
      <c r="S208" s="3">
        <v>255.2</v>
      </c>
      <c r="T208" s="11">
        <f t="shared" si="4"/>
        <v>1.9668896630391222E-3</v>
      </c>
      <c r="U208" s="1" t="s">
        <v>354</v>
      </c>
      <c r="V208" s="2"/>
      <c r="W208" s="2"/>
      <c r="X208" s="6" t="s">
        <v>356</v>
      </c>
      <c r="Y208" s="1" t="s">
        <v>357</v>
      </c>
    </row>
    <row r="209" spans="16:25">
      <c r="P209" s="2" t="s">
        <v>615</v>
      </c>
      <c r="Q209" s="10" t="s">
        <v>36</v>
      </c>
      <c r="R209" s="2" t="s">
        <v>353</v>
      </c>
      <c r="S209" s="3">
        <v>255.2</v>
      </c>
      <c r="T209" s="11">
        <f t="shared" si="4"/>
        <v>1.9668896630391222E-3</v>
      </c>
      <c r="U209" s="1" t="s">
        <v>354</v>
      </c>
      <c r="V209" s="2"/>
      <c r="W209" s="2"/>
      <c r="X209" s="6" t="s">
        <v>356</v>
      </c>
      <c r="Y209" s="1" t="s">
        <v>357</v>
      </c>
    </row>
    <row r="210" spans="16:25">
      <c r="P210" s="2" t="s">
        <v>616</v>
      </c>
      <c r="Q210" s="10" t="s">
        <v>36</v>
      </c>
      <c r="R210" s="2" t="s">
        <v>353</v>
      </c>
      <c r="S210" s="3">
        <v>284.49</v>
      </c>
      <c r="T210" s="11">
        <f t="shared" si="4"/>
        <v>2.1926349539106581E-3</v>
      </c>
      <c r="U210" s="1" t="s">
        <v>354</v>
      </c>
      <c r="V210" s="2"/>
      <c r="W210" s="2"/>
      <c r="X210" s="6" t="s">
        <v>356</v>
      </c>
      <c r="Y210" s="1" t="s">
        <v>357</v>
      </c>
    </row>
    <row r="211" spans="16:25">
      <c r="P211" s="2" t="s">
        <v>617</v>
      </c>
      <c r="Q211" s="10" t="s">
        <v>36</v>
      </c>
      <c r="R211" s="2" t="s">
        <v>353</v>
      </c>
      <c r="S211" s="3">
        <v>284.49</v>
      </c>
      <c r="T211" s="11">
        <f t="shared" si="4"/>
        <v>2.1926349539106581E-3</v>
      </c>
      <c r="U211" s="1" t="s">
        <v>354</v>
      </c>
      <c r="V211" s="2"/>
      <c r="W211" s="2"/>
      <c r="X211" s="6" t="s">
        <v>356</v>
      </c>
      <c r="Y211" s="1" t="s">
        <v>357</v>
      </c>
    </row>
    <row r="212" spans="16:25">
      <c r="P212" s="2" t="s">
        <v>618</v>
      </c>
      <c r="Q212" s="10" t="s">
        <v>36</v>
      </c>
      <c r="R212" s="2" t="s">
        <v>353</v>
      </c>
      <c r="S212" s="3">
        <v>189.66</v>
      </c>
      <c r="T212" s="11">
        <f t="shared" si="4"/>
        <v>1.4617566359404386E-3</v>
      </c>
      <c r="U212" s="1" t="s">
        <v>354</v>
      </c>
      <c r="V212" s="2"/>
      <c r="W212" s="2"/>
      <c r="X212" s="6" t="s">
        <v>356</v>
      </c>
      <c r="Y212" s="1" t="s">
        <v>357</v>
      </c>
    </row>
    <row r="213" spans="16:25">
      <c r="P213" s="2" t="s">
        <v>619</v>
      </c>
      <c r="Q213" s="10" t="s">
        <v>36</v>
      </c>
      <c r="R213" s="2" t="s">
        <v>353</v>
      </c>
      <c r="S213" s="3">
        <v>205.465</v>
      </c>
      <c r="T213" s="11">
        <f t="shared" si="4"/>
        <v>1.583569688935475E-3</v>
      </c>
      <c r="U213" s="1" t="s">
        <v>354</v>
      </c>
      <c r="V213" s="2"/>
      <c r="W213" s="2"/>
      <c r="X213" s="6" t="s">
        <v>356</v>
      </c>
      <c r="Y213" s="1" t="s">
        <v>357</v>
      </c>
    </row>
    <row r="214" spans="16:25">
      <c r="P214" s="2" t="s">
        <v>620</v>
      </c>
      <c r="Q214" s="10" t="s">
        <v>36</v>
      </c>
      <c r="R214" s="2" t="s">
        <v>353</v>
      </c>
      <c r="S214" s="3">
        <v>0</v>
      </c>
      <c r="T214" s="11">
        <f t="shared" si="4"/>
        <v>0</v>
      </c>
      <c r="U214" s="1" t="s">
        <v>354</v>
      </c>
      <c r="V214" s="2"/>
      <c r="W214" s="2"/>
      <c r="X214" s="6" t="s">
        <v>356</v>
      </c>
      <c r="Y214" s="1" t="s">
        <v>357</v>
      </c>
    </row>
    <row r="215" spans="16:25">
      <c r="P215" s="2" t="s">
        <v>621</v>
      </c>
      <c r="Q215" s="10" t="s">
        <v>36</v>
      </c>
      <c r="R215" s="2" t="s">
        <v>353</v>
      </c>
      <c r="S215" s="3">
        <v>0</v>
      </c>
      <c r="T215" s="11">
        <f t="shared" si="4"/>
        <v>0</v>
      </c>
      <c r="U215" s="1" t="s">
        <v>354</v>
      </c>
      <c r="V215" s="2"/>
      <c r="W215" s="2"/>
      <c r="X215" s="6" t="s">
        <v>356</v>
      </c>
      <c r="Y215" s="1" t="s">
        <v>357</v>
      </c>
    </row>
    <row r="216" spans="16:25">
      <c r="P216" s="2" t="s">
        <v>622</v>
      </c>
      <c r="Q216" s="10" t="s">
        <v>36</v>
      </c>
      <c r="R216" s="2" t="s">
        <v>353</v>
      </c>
      <c r="S216" s="3">
        <v>0</v>
      </c>
      <c r="T216" s="11">
        <f t="shared" si="4"/>
        <v>0</v>
      </c>
      <c r="U216" s="1" t="s">
        <v>354</v>
      </c>
      <c r="V216" s="2"/>
      <c r="W216" s="2"/>
      <c r="X216" s="6" t="s">
        <v>356</v>
      </c>
      <c r="Y216" s="1" t="s">
        <v>357</v>
      </c>
    </row>
    <row r="217" spans="16:25">
      <c r="P217" s="2" t="s">
        <v>623</v>
      </c>
      <c r="Q217" s="10" t="s">
        <v>36</v>
      </c>
      <c r="R217" s="2" t="s">
        <v>353</v>
      </c>
      <c r="S217" s="3">
        <v>252.88</v>
      </c>
      <c r="T217" s="11">
        <f t="shared" si="4"/>
        <v>1.9490088479205848E-3</v>
      </c>
      <c r="U217" s="1" t="s">
        <v>354</v>
      </c>
      <c r="V217" s="2"/>
      <c r="W217" s="2"/>
      <c r="X217" s="6" t="s">
        <v>356</v>
      </c>
      <c r="Y217" s="1" t="s">
        <v>357</v>
      </c>
    </row>
    <row r="218" spans="16:25">
      <c r="P218" s="2" t="s">
        <v>624</v>
      </c>
      <c r="Q218" s="10" t="s">
        <v>36</v>
      </c>
      <c r="R218" s="2" t="s">
        <v>353</v>
      </c>
      <c r="S218" s="3">
        <v>221.27</v>
      </c>
      <c r="T218" s="11">
        <f t="shared" si="4"/>
        <v>1.7053827419305117E-3</v>
      </c>
      <c r="U218" s="1" t="s">
        <v>354</v>
      </c>
      <c r="V218" s="2"/>
      <c r="W218" s="2"/>
      <c r="X218" s="6" t="s">
        <v>356</v>
      </c>
      <c r="Y218" s="1" t="s">
        <v>357</v>
      </c>
    </row>
    <row r="219" spans="16:25">
      <c r="P219" s="2" t="s">
        <v>625</v>
      </c>
      <c r="Q219" s="10" t="s">
        <v>36</v>
      </c>
      <c r="R219" s="2" t="s">
        <v>353</v>
      </c>
      <c r="S219" s="3">
        <v>252.88</v>
      </c>
      <c r="T219" s="11">
        <f t="shared" si="4"/>
        <v>1.9490088479205848E-3</v>
      </c>
      <c r="U219" s="1" t="s">
        <v>354</v>
      </c>
      <c r="V219" s="2"/>
      <c r="W219" s="2"/>
      <c r="X219" s="6" t="s">
        <v>356</v>
      </c>
      <c r="Y219" s="1" t="s">
        <v>357</v>
      </c>
    </row>
    <row r="220" spans="16:25">
      <c r="P220" s="2" t="s">
        <v>626</v>
      </c>
      <c r="Q220" s="10" t="s">
        <v>36</v>
      </c>
      <c r="R220" s="2" t="s">
        <v>353</v>
      </c>
      <c r="S220" s="3">
        <v>252.88</v>
      </c>
      <c r="T220" s="11">
        <f t="shared" si="4"/>
        <v>1.9490088479205848E-3</v>
      </c>
      <c r="U220" s="1" t="s">
        <v>354</v>
      </c>
      <c r="V220" s="2"/>
      <c r="W220" s="2"/>
      <c r="X220" s="6" t="s">
        <v>356</v>
      </c>
      <c r="Y220" s="1" t="s">
        <v>357</v>
      </c>
    </row>
    <row r="221" spans="16:25">
      <c r="P221" s="2" t="s">
        <v>627</v>
      </c>
      <c r="Q221" s="10" t="s">
        <v>36</v>
      </c>
      <c r="R221" s="2" t="s">
        <v>353</v>
      </c>
      <c r="S221" s="3">
        <v>221.27</v>
      </c>
      <c r="T221" s="11">
        <f t="shared" si="4"/>
        <v>1.7053827419305117E-3</v>
      </c>
      <c r="U221" s="1" t="s">
        <v>354</v>
      </c>
      <c r="V221" s="2"/>
      <c r="W221" s="2"/>
      <c r="X221" s="6" t="s">
        <v>356</v>
      </c>
      <c r="Y221" s="1" t="s">
        <v>357</v>
      </c>
    </row>
    <row r="222" spans="16:25">
      <c r="P222" s="2" t="s">
        <v>628</v>
      </c>
      <c r="Q222" s="10" t="s">
        <v>36</v>
      </c>
      <c r="R222" s="2" t="s">
        <v>353</v>
      </c>
      <c r="S222" s="3">
        <v>221.27</v>
      </c>
      <c r="T222" s="11">
        <f t="shared" ref="T222:T285" si="5">S222/$B$2</f>
        <v>1.7053827419305117E-3</v>
      </c>
      <c r="U222" s="1" t="s">
        <v>354</v>
      </c>
      <c r="V222" s="2"/>
      <c r="W222" s="2"/>
      <c r="X222" s="6" t="s">
        <v>356</v>
      </c>
      <c r="Y222" s="1" t="s">
        <v>357</v>
      </c>
    </row>
    <row r="223" spans="16:25">
      <c r="P223" s="2" t="s">
        <v>629</v>
      </c>
      <c r="Q223" s="10" t="s">
        <v>36</v>
      </c>
      <c r="R223" s="2" t="s">
        <v>353</v>
      </c>
      <c r="S223" s="3">
        <v>252.88</v>
      </c>
      <c r="T223" s="11">
        <f t="shared" si="5"/>
        <v>1.9490088479205848E-3</v>
      </c>
      <c r="U223" s="1" t="s">
        <v>354</v>
      </c>
      <c r="V223" s="2"/>
      <c r="W223" s="2"/>
      <c r="X223" s="6" t="s">
        <v>356</v>
      </c>
      <c r="Y223" s="1" t="s">
        <v>357</v>
      </c>
    </row>
    <row r="224" spans="16:25">
      <c r="P224" s="2" t="s">
        <v>630</v>
      </c>
      <c r="Q224" s="10" t="s">
        <v>36</v>
      </c>
      <c r="R224" s="2" t="s">
        <v>353</v>
      </c>
      <c r="S224" s="3">
        <v>252.88</v>
      </c>
      <c r="T224" s="11">
        <f t="shared" si="5"/>
        <v>1.9490088479205848E-3</v>
      </c>
      <c r="U224" s="1" t="s">
        <v>354</v>
      </c>
      <c r="V224" s="2"/>
      <c r="W224" s="2"/>
      <c r="X224" s="6" t="s">
        <v>356</v>
      </c>
      <c r="Y224" s="1" t="s">
        <v>357</v>
      </c>
    </row>
    <row r="225" spans="16:25">
      <c r="P225" s="2" t="s">
        <v>631</v>
      </c>
      <c r="Q225" s="10" t="s">
        <v>36</v>
      </c>
      <c r="R225" s="2" t="s">
        <v>353</v>
      </c>
      <c r="S225" s="3">
        <v>252.88</v>
      </c>
      <c r="T225" s="11">
        <f t="shared" si="5"/>
        <v>1.9490088479205848E-3</v>
      </c>
      <c r="U225" s="1" t="s">
        <v>354</v>
      </c>
      <c r="V225" s="2"/>
      <c r="W225" s="2"/>
      <c r="X225" s="6" t="s">
        <v>356</v>
      </c>
      <c r="Y225" s="1" t="s">
        <v>357</v>
      </c>
    </row>
    <row r="226" spans="16:25">
      <c r="P226" s="2" t="s">
        <v>632</v>
      </c>
      <c r="Q226" s="10" t="s">
        <v>36</v>
      </c>
      <c r="R226" s="2" t="s">
        <v>353</v>
      </c>
      <c r="S226" s="3">
        <v>252.88</v>
      </c>
      <c r="T226" s="11">
        <f t="shared" si="5"/>
        <v>1.9490088479205848E-3</v>
      </c>
      <c r="U226" s="1" t="s">
        <v>354</v>
      </c>
      <c r="V226" s="2"/>
      <c r="W226" s="2"/>
      <c r="X226" s="6" t="s">
        <v>356</v>
      </c>
      <c r="Y226" s="1" t="s">
        <v>357</v>
      </c>
    </row>
    <row r="227" spans="16:25">
      <c r="P227" s="2" t="s">
        <v>633</v>
      </c>
      <c r="Q227" s="10" t="s">
        <v>36</v>
      </c>
      <c r="R227" s="2" t="s">
        <v>353</v>
      </c>
      <c r="S227" s="3">
        <v>221.27</v>
      </c>
      <c r="T227" s="11">
        <f t="shared" si="5"/>
        <v>1.7053827419305117E-3</v>
      </c>
      <c r="U227" s="1" t="s">
        <v>354</v>
      </c>
      <c r="V227" s="2"/>
      <c r="W227" s="2"/>
      <c r="X227" s="6" t="s">
        <v>356</v>
      </c>
      <c r="Y227" s="1" t="s">
        <v>357</v>
      </c>
    </row>
    <row r="228" spans="16:25">
      <c r="P228" s="2" t="s">
        <v>634</v>
      </c>
      <c r="Q228" s="10" t="s">
        <v>36</v>
      </c>
      <c r="R228" s="2" t="s">
        <v>353</v>
      </c>
      <c r="S228" s="3">
        <v>252.88</v>
      </c>
      <c r="T228" s="11">
        <f t="shared" si="5"/>
        <v>1.9490088479205848E-3</v>
      </c>
      <c r="U228" s="1" t="s">
        <v>354</v>
      </c>
      <c r="V228" s="2"/>
      <c r="W228" s="2"/>
      <c r="X228" s="6" t="s">
        <v>356</v>
      </c>
      <c r="Y228" s="1" t="s">
        <v>357</v>
      </c>
    </row>
    <row r="229" spans="16:25">
      <c r="P229" s="2" t="s">
        <v>635</v>
      </c>
      <c r="Q229" s="10" t="s">
        <v>36</v>
      </c>
      <c r="R229" s="2" t="s">
        <v>353</v>
      </c>
      <c r="S229" s="3">
        <v>252.88</v>
      </c>
      <c r="T229" s="11">
        <f t="shared" si="5"/>
        <v>1.9490088479205848E-3</v>
      </c>
      <c r="U229" s="1" t="s">
        <v>354</v>
      </c>
      <c r="V229" s="2"/>
      <c r="W229" s="2"/>
      <c r="X229" s="6" t="s">
        <v>356</v>
      </c>
      <c r="Y229" s="1" t="s">
        <v>357</v>
      </c>
    </row>
    <row r="230" spans="16:25">
      <c r="P230" s="2" t="s">
        <v>636</v>
      </c>
      <c r="Q230" s="10" t="s">
        <v>36</v>
      </c>
      <c r="R230" s="2" t="s">
        <v>353</v>
      </c>
      <c r="S230" s="3">
        <v>221.27</v>
      </c>
      <c r="T230" s="11">
        <f t="shared" si="5"/>
        <v>1.7053827419305117E-3</v>
      </c>
      <c r="U230" s="1" t="s">
        <v>354</v>
      </c>
      <c r="V230" s="2"/>
      <c r="W230" s="2"/>
      <c r="X230" s="6" t="s">
        <v>356</v>
      </c>
      <c r="Y230" s="1" t="s">
        <v>357</v>
      </c>
    </row>
    <row r="231" spans="16:25">
      <c r="P231" s="2" t="s">
        <v>637</v>
      </c>
      <c r="Q231" s="10" t="s">
        <v>36</v>
      </c>
      <c r="R231" s="2" t="s">
        <v>353</v>
      </c>
      <c r="S231" s="3">
        <v>252.88</v>
      </c>
      <c r="T231" s="11">
        <f t="shared" si="5"/>
        <v>1.9490088479205848E-3</v>
      </c>
      <c r="U231" s="1" t="s">
        <v>354</v>
      </c>
      <c r="V231" s="2"/>
      <c r="W231" s="2"/>
      <c r="X231" s="6" t="s">
        <v>356</v>
      </c>
      <c r="Y231" s="1" t="s">
        <v>357</v>
      </c>
    </row>
    <row r="232" spans="16:25">
      <c r="P232" s="2" t="s">
        <v>638</v>
      </c>
      <c r="Q232" s="10" t="s">
        <v>36</v>
      </c>
      <c r="R232" s="2" t="s">
        <v>353</v>
      </c>
      <c r="S232" s="3">
        <v>252.88</v>
      </c>
      <c r="T232" s="11">
        <f t="shared" si="5"/>
        <v>1.9490088479205848E-3</v>
      </c>
      <c r="U232" s="1" t="s">
        <v>354</v>
      </c>
      <c r="V232" s="2"/>
      <c r="W232" s="2"/>
      <c r="X232" s="6" t="s">
        <v>356</v>
      </c>
      <c r="Y232" s="1" t="s">
        <v>357</v>
      </c>
    </row>
    <row r="233" spans="16:25">
      <c r="P233" s="2" t="s">
        <v>639</v>
      </c>
      <c r="Q233" s="10" t="s">
        <v>36</v>
      </c>
      <c r="R233" s="2" t="s">
        <v>353</v>
      </c>
      <c r="S233" s="3">
        <v>252.88</v>
      </c>
      <c r="T233" s="11">
        <f t="shared" si="5"/>
        <v>1.9490088479205848E-3</v>
      </c>
      <c r="U233" s="1" t="s">
        <v>354</v>
      </c>
      <c r="V233" s="2"/>
      <c r="W233" s="2"/>
      <c r="X233" s="6" t="s">
        <v>356</v>
      </c>
      <c r="Y233" s="1" t="s">
        <v>357</v>
      </c>
    </row>
    <row r="234" spans="16:25">
      <c r="P234" s="2" t="s">
        <v>640</v>
      </c>
      <c r="Q234" s="10" t="s">
        <v>36</v>
      </c>
      <c r="R234" s="2" t="s">
        <v>353</v>
      </c>
      <c r="S234" s="3">
        <v>268.685</v>
      </c>
      <c r="T234" s="11">
        <f t="shared" si="5"/>
        <v>2.0708219009156212E-3</v>
      </c>
      <c r="U234" s="1" t="s">
        <v>354</v>
      </c>
      <c r="V234" s="2"/>
      <c r="W234" s="2"/>
      <c r="X234" s="6" t="s">
        <v>356</v>
      </c>
      <c r="Y234" s="1" t="s">
        <v>357</v>
      </c>
    </row>
    <row r="235" spans="16:25">
      <c r="P235" s="2" t="s">
        <v>641</v>
      </c>
      <c r="Q235" s="10" t="s">
        <v>36</v>
      </c>
      <c r="R235" s="2" t="s">
        <v>353</v>
      </c>
      <c r="S235" s="3">
        <v>255.2</v>
      </c>
      <c r="T235" s="11">
        <f t="shared" si="5"/>
        <v>1.9668896630391222E-3</v>
      </c>
      <c r="U235" s="1" t="s">
        <v>354</v>
      </c>
      <c r="V235" s="2"/>
      <c r="W235" s="2"/>
      <c r="X235" s="6" t="s">
        <v>356</v>
      </c>
      <c r="Y235" s="1" t="s">
        <v>357</v>
      </c>
    </row>
    <row r="236" spans="16:25">
      <c r="P236" s="2" t="s">
        <v>642</v>
      </c>
      <c r="Q236" s="10" t="s">
        <v>36</v>
      </c>
      <c r="R236" s="2" t="s">
        <v>353</v>
      </c>
      <c r="S236" s="3">
        <v>223.3</v>
      </c>
      <c r="T236" s="11">
        <f t="shared" si="5"/>
        <v>1.721028455159232E-3</v>
      </c>
      <c r="U236" s="1" t="s">
        <v>354</v>
      </c>
      <c r="V236" s="2"/>
      <c r="W236" s="2"/>
      <c r="X236" s="6" t="s">
        <v>356</v>
      </c>
      <c r="Y236" s="1" t="s">
        <v>357</v>
      </c>
    </row>
    <row r="237" spans="16:25">
      <c r="P237" s="2" t="s">
        <v>643</v>
      </c>
      <c r="Q237" s="10" t="s">
        <v>36</v>
      </c>
      <c r="R237" s="2" t="s">
        <v>353</v>
      </c>
      <c r="S237" s="3">
        <v>255.2</v>
      </c>
      <c r="T237" s="11">
        <f t="shared" si="5"/>
        <v>1.9668896630391222E-3</v>
      </c>
      <c r="U237" s="1" t="s">
        <v>354</v>
      </c>
      <c r="V237" s="2"/>
      <c r="W237" s="2"/>
      <c r="X237" s="6" t="s">
        <v>356</v>
      </c>
      <c r="Y237" s="1" t="s">
        <v>357</v>
      </c>
    </row>
    <row r="238" spans="16:25">
      <c r="P238" s="2" t="s">
        <v>644</v>
      </c>
      <c r="Q238" s="10" t="s">
        <v>36</v>
      </c>
      <c r="R238" s="2" t="s">
        <v>353</v>
      </c>
      <c r="S238" s="3">
        <v>287.10000000000002</v>
      </c>
      <c r="T238" s="11">
        <f t="shared" si="5"/>
        <v>2.2127508709190126E-3</v>
      </c>
      <c r="U238" s="1" t="s">
        <v>354</v>
      </c>
      <c r="V238" s="2"/>
      <c r="W238" s="2"/>
      <c r="X238" s="6" t="s">
        <v>356</v>
      </c>
      <c r="Y238" s="1" t="s">
        <v>357</v>
      </c>
    </row>
    <row r="239" spans="16:25">
      <c r="P239" s="2" t="s">
        <v>645</v>
      </c>
      <c r="Q239" s="10" t="s">
        <v>36</v>
      </c>
      <c r="R239" s="2" t="s">
        <v>353</v>
      </c>
      <c r="S239" s="3">
        <v>221.27</v>
      </c>
      <c r="T239" s="11">
        <f t="shared" si="5"/>
        <v>1.7053827419305117E-3</v>
      </c>
      <c r="U239" s="1" t="s">
        <v>354</v>
      </c>
      <c r="V239" s="2"/>
      <c r="W239" s="2"/>
      <c r="X239" s="6" t="s">
        <v>356</v>
      </c>
      <c r="Y239" s="1" t="s">
        <v>357</v>
      </c>
    </row>
    <row r="240" spans="16:25">
      <c r="P240" s="2" t="s">
        <v>646</v>
      </c>
      <c r="Q240" s="10" t="s">
        <v>36</v>
      </c>
      <c r="R240" s="2" t="s">
        <v>353</v>
      </c>
      <c r="S240" s="3">
        <v>223.3</v>
      </c>
      <c r="T240" s="11">
        <f t="shared" si="5"/>
        <v>1.721028455159232E-3</v>
      </c>
      <c r="U240" s="1" t="s">
        <v>354</v>
      </c>
      <c r="V240" s="2"/>
      <c r="W240" s="2"/>
      <c r="X240" s="6" t="s">
        <v>356</v>
      </c>
      <c r="Y240" s="1" t="s">
        <v>357</v>
      </c>
    </row>
    <row r="241" spans="16:25">
      <c r="P241" s="2" t="s">
        <v>647</v>
      </c>
      <c r="Q241" s="10" t="s">
        <v>36</v>
      </c>
      <c r="R241" s="2" t="s">
        <v>353</v>
      </c>
      <c r="S241" s="3">
        <v>255.2</v>
      </c>
      <c r="T241" s="11">
        <f t="shared" si="5"/>
        <v>1.9668896630391222E-3</v>
      </c>
      <c r="U241" s="1" t="s">
        <v>354</v>
      </c>
      <c r="V241" s="2"/>
      <c r="W241" s="2"/>
      <c r="X241" s="6" t="s">
        <v>356</v>
      </c>
      <c r="Y241" s="1" t="s">
        <v>357</v>
      </c>
    </row>
    <row r="242" spans="16:25">
      <c r="P242" s="2" t="s">
        <v>648</v>
      </c>
      <c r="Q242" s="10" t="s">
        <v>36</v>
      </c>
      <c r="R242" s="2" t="s">
        <v>353</v>
      </c>
      <c r="S242" s="3">
        <v>255.2</v>
      </c>
      <c r="T242" s="11">
        <f t="shared" si="5"/>
        <v>1.9668896630391222E-3</v>
      </c>
      <c r="U242" s="1" t="s">
        <v>354</v>
      </c>
      <c r="V242" s="2"/>
      <c r="W242" s="2"/>
      <c r="X242" s="6" t="s">
        <v>356</v>
      </c>
      <c r="Y242" s="1" t="s">
        <v>357</v>
      </c>
    </row>
    <row r="243" spans="16:25">
      <c r="P243" s="2" t="s">
        <v>649</v>
      </c>
      <c r="Q243" s="10" t="s">
        <v>36</v>
      </c>
      <c r="R243" s="2" t="s">
        <v>353</v>
      </c>
      <c r="S243" s="3">
        <v>207.35</v>
      </c>
      <c r="T243" s="11">
        <f t="shared" si="5"/>
        <v>1.5980978512192868E-3</v>
      </c>
      <c r="U243" s="1" t="s">
        <v>354</v>
      </c>
      <c r="V243" s="2"/>
      <c r="W243" s="2"/>
      <c r="X243" s="6" t="s">
        <v>356</v>
      </c>
      <c r="Y243" s="1" t="s">
        <v>357</v>
      </c>
    </row>
    <row r="244" spans="16:25">
      <c r="P244" s="2" t="s">
        <v>650</v>
      </c>
      <c r="Q244" s="10" t="s">
        <v>36</v>
      </c>
      <c r="R244" s="2" t="s">
        <v>353</v>
      </c>
      <c r="S244" s="3">
        <v>223.3</v>
      </c>
      <c r="T244" s="11">
        <f t="shared" si="5"/>
        <v>1.721028455159232E-3</v>
      </c>
      <c r="U244" s="1" t="s">
        <v>354</v>
      </c>
      <c r="V244" s="2"/>
      <c r="W244" s="2"/>
      <c r="X244" s="6" t="s">
        <v>356</v>
      </c>
      <c r="Y244" s="1" t="s">
        <v>357</v>
      </c>
    </row>
    <row r="245" spans="16:25">
      <c r="P245" s="2" t="s">
        <v>651</v>
      </c>
      <c r="Q245" s="10" t="s">
        <v>36</v>
      </c>
      <c r="R245" s="2" t="s">
        <v>353</v>
      </c>
      <c r="S245" s="3">
        <v>255.2</v>
      </c>
      <c r="T245" s="11">
        <f t="shared" si="5"/>
        <v>1.9668896630391222E-3</v>
      </c>
      <c r="U245" s="1" t="s">
        <v>354</v>
      </c>
      <c r="V245" s="2"/>
      <c r="W245" s="2"/>
      <c r="X245" s="6" t="s">
        <v>356</v>
      </c>
      <c r="Y245" s="1" t="s">
        <v>357</v>
      </c>
    </row>
    <row r="246" spans="16:25">
      <c r="P246" s="2" t="s">
        <v>652</v>
      </c>
      <c r="Q246" s="10" t="s">
        <v>36</v>
      </c>
      <c r="R246" s="2" t="s">
        <v>353</v>
      </c>
      <c r="S246" s="3">
        <v>255.2</v>
      </c>
      <c r="T246" s="11">
        <f t="shared" si="5"/>
        <v>1.9668896630391222E-3</v>
      </c>
      <c r="U246" s="1" t="s">
        <v>354</v>
      </c>
      <c r="V246" s="2"/>
      <c r="W246" s="2"/>
      <c r="X246" s="6" t="s">
        <v>356</v>
      </c>
      <c r="Y246" s="1" t="s">
        <v>357</v>
      </c>
    </row>
    <row r="247" spans="16:25">
      <c r="P247" s="2" t="s">
        <v>653</v>
      </c>
      <c r="Q247" s="10" t="s">
        <v>36</v>
      </c>
      <c r="R247" s="2" t="s">
        <v>353</v>
      </c>
      <c r="S247" s="3">
        <v>255.2</v>
      </c>
      <c r="T247" s="11">
        <f t="shared" si="5"/>
        <v>1.9668896630391222E-3</v>
      </c>
      <c r="U247" s="1" t="s">
        <v>354</v>
      </c>
      <c r="V247" s="2"/>
      <c r="W247" s="2"/>
      <c r="X247" s="6" t="s">
        <v>356</v>
      </c>
      <c r="Y247" s="1" t="s">
        <v>357</v>
      </c>
    </row>
    <row r="248" spans="16:25">
      <c r="P248" s="2" t="s">
        <v>654</v>
      </c>
      <c r="Q248" s="10" t="s">
        <v>36</v>
      </c>
      <c r="R248" s="2" t="s">
        <v>353</v>
      </c>
      <c r="S248" s="3">
        <v>255.2</v>
      </c>
      <c r="T248" s="11">
        <f t="shared" si="5"/>
        <v>1.9668896630391222E-3</v>
      </c>
      <c r="U248" s="1" t="s">
        <v>354</v>
      </c>
      <c r="V248" s="2"/>
      <c r="W248" s="2"/>
      <c r="X248" s="6" t="s">
        <v>356</v>
      </c>
      <c r="Y248" s="1" t="s">
        <v>357</v>
      </c>
    </row>
    <row r="249" spans="16:25">
      <c r="P249" s="2" t="s">
        <v>655</v>
      </c>
      <c r="Q249" s="10" t="s">
        <v>36</v>
      </c>
      <c r="R249" s="2" t="s">
        <v>353</v>
      </c>
      <c r="S249" s="3">
        <v>223.3</v>
      </c>
      <c r="T249" s="11">
        <f t="shared" si="5"/>
        <v>1.721028455159232E-3</v>
      </c>
      <c r="U249" s="1" t="s">
        <v>354</v>
      </c>
      <c r="V249" s="2"/>
      <c r="W249" s="2"/>
      <c r="X249" s="6" t="s">
        <v>356</v>
      </c>
      <c r="Y249" s="1" t="s">
        <v>357</v>
      </c>
    </row>
    <row r="250" spans="16:25">
      <c r="P250" s="2" t="s">
        <v>656</v>
      </c>
      <c r="Q250" s="10" t="s">
        <v>36</v>
      </c>
      <c r="R250" s="2" t="s">
        <v>353</v>
      </c>
      <c r="S250" s="3">
        <v>255.2</v>
      </c>
      <c r="T250" s="11">
        <f t="shared" si="5"/>
        <v>1.9668896630391222E-3</v>
      </c>
      <c r="U250" s="1" t="s">
        <v>354</v>
      </c>
      <c r="V250" s="2"/>
      <c r="W250" s="2"/>
      <c r="X250" s="6" t="s">
        <v>356</v>
      </c>
      <c r="Y250" s="1" t="s">
        <v>357</v>
      </c>
    </row>
    <row r="251" spans="16:25">
      <c r="P251" s="2" t="s">
        <v>657</v>
      </c>
      <c r="Q251" s="10" t="s">
        <v>36</v>
      </c>
      <c r="R251" s="2" t="s">
        <v>353</v>
      </c>
      <c r="S251" s="3">
        <v>255.2</v>
      </c>
      <c r="T251" s="11">
        <f t="shared" si="5"/>
        <v>1.9668896630391222E-3</v>
      </c>
      <c r="U251" s="1" t="s">
        <v>354</v>
      </c>
      <c r="V251" s="2"/>
      <c r="W251" s="2"/>
      <c r="X251" s="6" t="s">
        <v>356</v>
      </c>
      <c r="Y251" s="1" t="s">
        <v>357</v>
      </c>
    </row>
    <row r="252" spans="16:25">
      <c r="P252" s="2" t="s">
        <v>658</v>
      </c>
      <c r="Q252" s="10" t="s">
        <v>36</v>
      </c>
      <c r="R252" s="2" t="s">
        <v>353</v>
      </c>
      <c r="S252" s="3">
        <v>223.3</v>
      </c>
      <c r="T252" s="11">
        <f t="shared" si="5"/>
        <v>1.721028455159232E-3</v>
      </c>
      <c r="U252" s="1" t="s">
        <v>354</v>
      </c>
      <c r="V252" s="2"/>
      <c r="W252" s="2"/>
      <c r="X252" s="6" t="s">
        <v>356</v>
      </c>
      <c r="Y252" s="1" t="s">
        <v>357</v>
      </c>
    </row>
    <row r="253" spans="16:25">
      <c r="P253" s="2" t="s">
        <v>659</v>
      </c>
      <c r="Q253" s="10" t="s">
        <v>36</v>
      </c>
      <c r="R253" s="2" t="s">
        <v>353</v>
      </c>
      <c r="S253" s="3">
        <v>221.27</v>
      </c>
      <c r="T253" s="11">
        <f t="shared" si="5"/>
        <v>1.7053827419305117E-3</v>
      </c>
      <c r="U253" s="1" t="s">
        <v>354</v>
      </c>
      <c r="V253" s="2"/>
      <c r="W253" s="2"/>
      <c r="X253" s="6" t="s">
        <v>356</v>
      </c>
      <c r="Y253" s="1" t="s">
        <v>357</v>
      </c>
    </row>
    <row r="254" spans="16:25">
      <c r="P254" s="2" t="s">
        <v>660</v>
      </c>
      <c r="Q254" s="10" t="s">
        <v>36</v>
      </c>
      <c r="R254" s="2" t="s">
        <v>353</v>
      </c>
      <c r="S254" s="3">
        <v>252.88</v>
      </c>
      <c r="T254" s="11">
        <f t="shared" si="5"/>
        <v>1.9490088479205848E-3</v>
      </c>
      <c r="U254" s="1" t="s">
        <v>354</v>
      </c>
      <c r="V254" s="2"/>
      <c r="W254" s="2"/>
      <c r="X254" s="6" t="s">
        <v>356</v>
      </c>
      <c r="Y254" s="1" t="s">
        <v>357</v>
      </c>
    </row>
    <row r="255" spans="16:25">
      <c r="P255" s="2" t="s">
        <v>661</v>
      </c>
      <c r="Q255" s="10" t="s">
        <v>36</v>
      </c>
      <c r="R255" s="2" t="s">
        <v>353</v>
      </c>
      <c r="S255" s="3">
        <v>252.88</v>
      </c>
      <c r="T255" s="11">
        <f t="shared" si="5"/>
        <v>1.9490088479205848E-3</v>
      </c>
      <c r="U255" s="1" t="s">
        <v>354</v>
      </c>
      <c r="V255" s="2"/>
      <c r="W255" s="2"/>
      <c r="X255" s="6" t="s">
        <v>356</v>
      </c>
      <c r="Y255" s="1" t="s">
        <v>357</v>
      </c>
    </row>
    <row r="256" spans="16:25">
      <c r="P256" s="2" t="s">
        <v>662</v>
      </c>
      <c r="Q256" s="10" t="s">
        <v>36</v>
      </c>
      <c r="R256" s="2" t="s">
        <v>353</v>
      </c>
      <c r="S256" s="3">
        <v>252.88</v>
      </c>
      <c r="T256" s="11">
        <f t="shared" si="5"/>
        <v>1.9490088479205848E-3</v>
      </c>
      <c r="U256" s="1" t="s">
        <v>354</v>
      </c>
      <c r="V256" s="2"/>
      <c r="W256" s="2"/>
      <c r="X256" s="6" t="s">
        <v>356</v>
      </c>
      <c r="Y256" s="1" t="s">
        <v>357</v>
      </c>
    </row>
    <row r="257" spans="16:25">
      <c r="P257" s="2" t="s">
        <v>663</v>
      </c>
      <c r="Q257" s="10" t="s">
        <v>36</v>
      </c>
      <c r="R257" s="2" t="s">
        <v>353</v>
      </c>
      <c r="S257" s="3">
        <v>221.27</v>
      </c>
      <c r="T257" s="11">
        <f t="shared" si="5"/>
        <v>1.7053827419305117E-3</v>
      </c>
      <c r="U257" s="1" t="s">
        <v>354</v>
      </c>
      <c r="V257" s="2"/>
      <c r="W257" s="2"/>
      <c r="X257" s="6" t="s">
        <v>356</v>
      </c>
      <c r="Y257" s="1" t="s">
        <v>357</v>
      </c>
    </row>
    <row r="258" spans="16:25">
      <c r="P258" s="2" t="s">
        <v>664</v>
      </c>
      <c r="Q258" s="10" t="s">
        <v>36</v>
      </c>
      <c r="R258" s="2" t="s">
        <v>353</v>
      </c>
      <c r="S258" s="3">
        <v>252.88</v>
      </c>
      <c r="T258" s="11">
        <f t="shared" si="5"/>
        <v>1.9490088479205848E-3</v>
      </c>
      <c r="U258" s="1" t="s">
        <v>354</v>
      </c>
      <c r="V258" s="2"/>
      <c r="W258" s="2"/>
      <c r="X258" s="6" t="s">
        <v>356</v>
      </c>
      <c r="Y258" s="1" t="s">
        <v>357</v>
      </c>
    </row>
    <row r="259" spans="16:25">
      <c r="P259" s="2" t="s">
        <v>665</v>
      </c>
      <c r="Q259" s="10" t="s">
        <v>36</v>
      </c>
      <c r="R259" s="2" t="s">
        <v>353</v>
      </c>
      <c r="S259" s="3">
        <v>252.88</v>
      </c>
      <c r="T259" s="11">
        <f t="shared" si="5"/>
        <v>1.9490088479205848E-3</v>
      </c>
      <c r="U259" s="1" t="s">
        <v>354</v>
      </c>
      <c r="V259" s="2"/>
      <c r="W259" s="2"/>
      <c r="X259" s="6" t="s">
        <v>356</v>
      </c>
      <c r="Y259" s="1" t="s">
        <v>357</v>
      </c>
    </row>
    <row r="260" spans="16:25">
      <c r="P260" s="2" t="s">
        <v>666</v>
      </c>
      <c r="Q260" s="10" t="s">
        <v>36</v>
      </c>
      <c r="R260" s="2" t="s">
        <v>353</v>
      </c>
      <c r="S260" s="3">
        <v>252.88</v>
      </c>
      <c r="T260" s="11">
        <f t="shared" si="5"/>
        <v>1.9490088479205848E-3</v>
      </c>
      <c r="U260" s="1" t="s">
        <v>354</v>
      </c>
      <c r="V260" s="2"/>
      <c r="W260" s="2"/>
      <c r="X260" s="6" t="s">
        <v>356</v>
      </c>
      <c r="Y260" s="1" t="s">
        <v>357</v>
      </c>
    </row>
    <row r="261" spans="16:25">
      <c r="P261" s="2" t="s">
        <v>667</v>
      </c>
      <c r="Q261" s="10" t="s">
        <v>36</v>
      </c>
      <c r="R261" s="2" t="s">
        <v>353</v>
      </c>
      <c r="S261" s="3">
        <v>221.27</v>
      </c>
      <c r="T261" s="11">
        <f t="shared" si="5"/>
        <v>1.7053827419305117E-3</v>
      </c>
      <c r="U261" s="1" t="s">
        <v>354</v>
      </c>
      <c r="V261" s="2"/>
      <c r="W261" s="2"/>
      <c r="X261" s="6" t="s">
        <v>356</v>
      </c>
      <c r="Y261" s="1" t="s">
        <v>357</v>
      </c>
    </row>
    <row r="262" spans="16:25">
      <c r="P262" s="2" t="s">
        <v>668</v>
      </c>
      <c r="Q262" s="10" t="s">
        <v>36</v>
      </c>
      <c r="R262" s="2" t="s">
        <v>353</v>
      </c>
      <c r="S262" s="3">
        <v>252.88</v>
      </c>
      <c r="T262" s="11">
        <f t="shared" si="5"/>
        <v>1.9490088479205848E-3</v>
      </c>
      <c r="U262" s="1" t="s">
        <v>354</v>
      </c>
      <c r="V262" s="2"/>
      <c r="W262" s="2"/>
      <c r="X262" s="6" t="s">
        <v>356</v>
      </c>
      <c r="Y262" s="1" t="s">
        <v>357</v>
      </c>
    </row>
    <row r="263" spans="16:25">
      <c r="P263" s="2" t="s">
        <v>669</v>
      </c>
      <c r="Q263" s="10" t="s">
        <v>36</v>
      </c>
      <c r="R263" s="2" t="s">
        <v>353</v>
      </c>
      <c r="S263" s="3">
        <v>252.88</v>
      </c>
      <c r="T263" s="11">
        <f t="shared" si="5"/>
        <v>1.9490088479205848E-3</v>
      </c>
      <c r="U263" s="1" t="s">
        <v>354</v>
      </c>
      <c r="V263" s="2"/>
      <c r="W263" s="2"/>
      <c r="X263" s="6" t="s">
        <v>356</v>
      </c>
      <c r="Y263" s="1" t="s">
        <v>357</v>
      </c>
    </row>
    <row r="264" spans="16:25">
      <c r="P264" s="2" t="s">
        <v>670</v>
      </c>
      <c r="Q264" s="10" t="s">
        <v>36</v>
      </c>
      <c r="R264" s="2" t="s">
        <v>353</v>
      </c>
      <c r="S264" s="3">
        <v>252.88</v>
      </c>
      <c r="T264" s="11">
        <f t="shared" si="5"/>
        <v>1.9490088479205848E-3</v>
      </c>
      <c r="U264" s="1" t="s">
        <v>354</v>
      </c>
      <c r="V264" s="2"/>
      <c r="W264" s="2"/>
      <c r="X264" s="6" t="s">
        <v>356</v>
      </c>
      <c r="Y264" s="1" t="s">
        <v>357</v>
      </c>
    </row>
    <row r="265" spans="16:25">
      <c r="P265" s="2" t="s">
        <v>671</v>
      </c>
      <c r="Q265" s="10" t="s">
        <v>36</v>
      </c>
      <c r="R265" s="2" t="s">
        <v>353</v>
      </c>
      <c r="S265" s="3">
        <v>252.88</v>
      </c>
      <c r="T265" s="11">
        <f t="shared" si="5"/>
        <v>1.9490088479205848E-3</v>
      </c>
      <c r="U265" s="1" t="s">
        <v>354</v>
      </c>
      <c r="V265" s="2"/>
      <c r="W265" s="2"/>
      <c r="X265" s="6" t="s">
        <v>356</v>
      </c>
      <c r="Y265" s="1" t="s">
        <v>357</v>
      </c>
    </row>
    <row r="266" spans="16:25">
      <c r="P266" s="2" t="s">
        <v>672</v>
      </c>
      <c r="Q266" s="10" t="s">
        <v>36</v>
      </c>
      <c r="R266" s="2" t="s">
        <v>353</v>
      </c>
      <c r="S266" s="3">
        <v>252.88</v>
      </c>
      <c r="T266" s="11">
        <f t="shared" si="5"/>
        <v>1.9490088479205848E-3</v>
      </c>
      <c r="U266" s="1" t="s">
        <v>354</v>
      </c>
      <c r="V266" s="2"/>
      <c r="W266" s="2"/>
      <c r="X266" s="6" t="s">
        <v>356</v>
      </c>
      <c r="Y266" s="1" t="s">
        <v>357</v>
      </c>
    </row>
    <row r="267" spans="16:25">
      <c r="P267" s="2" t="s">
        <v>673</v>
      </c>
      <c r="Q267" s="10" t="s">
        <v>36</v>
      </c>
      <c r="R267" s="2" t="s">
        <v>353</v>
      </c>
      <c r="S267" s="3">
        <v>221.27</v>
      </c>
      <c r="T267" s="11">
        <f t="shared" si="5"/>
        <v>1.7053827419305117E-3</v>
      </c>
      <c r="U267" s="1" t="s">
        <v>354</v>
      </c>
      <c r="V267" s="2"/>
      <c r="W267" s="2"/>
      <c r="X267" s="6" t="s">
        <v>356</v>
      </c>
      <c r="Y267" s="1" t="s">
        <v>357</v>
      </c>
    </row>
    <row r="268" spans="16:25">
      <c r="P268" s="2" t="s">
        <v>674</v>
      </c>
      <c r="Q268" s="10" t="s">
        <v>36</v>
      </c>
      <c r="R268" s="2" t="s">
        <v>353</v>
      </c>
      <c r="S268" s="3">
        <v>221.27</v>
      </c>
      <c r="T268" s="11">
        <f t="shared" si="5"/>
        <v>1.7053827419305117E-3</v>
      </c>
      <c r="U268" s="1" t="s">
        <v>354</v>
      </c>
      <c r="V268" s="2"/>
      <c r="W268" s="2"/>
      <c r="X268" s="6" t="s">
        <v>356</v>
      </c>
      <c r="Y268" s="1" t="s">
        <v>357</v>
      </c>
    </row>
    <row r="269" spans="16:25">
      <c r="P269" s="2" t="s">
        <v>675</v>
      </c>
      <c r="Q269" s="10" t="s">
        <v>36</v>
      </c>
      <c r="R269" s="2" t="s">
        <v>353</v>
      </c>
      <c r="S269" s="3">
        <v>252.88</v>
      </c>
      <c r="T269" s="11">
        <f t="shared" si="5"/>
        <v>1.9490088479205848E-3</v>
      </c>
      <c r="U269" s="1" t="s">
        <v>354</v>
      </c>
      <c r="V269" s="2"/>
      <c r="W269" s="2"/>
      <c r="X269" s="6" t="s">
        <v>356</v>
      </c>
      <c r="Y269" s="1" t="s">
        <v>357</v>
      </c>
    </row>
    <row r="270" spans="16:25">
      <c r="P270" s="2" t="s">
        <v>676</v>
      </c>
      <c r="Q270" s="10" t="s">
        <v>36</v>
      </c>
      <c r="R270" s="2" t="s">
        <v>353</v>
      </c>
      <c r="S270" s="3">
        <v>252.88</v>
      </c>
      <c r="T270" s="11">
        <f t="shared" si="5"/>
        <v>1.9490088479205848E-3</v>
      </c>
      <c r="U270" s="1" t="s">
        <v>354</v>
      </c>
      <c r="V270" s="2"/>
      <c r="W270" s="2"/>
      <c r="X270" s="6" t="s">
        <v>356</v>
      </c>
      <c r="Y270" s="1" t="s">
        <v>357</v>
      </c>
    </row>
    <row r="271" spans="16:25">
      <c r="P271" s="2" t="s">
        <v>677</v>
      </c>
      <c r="Q271" s="292" t="s">
        <v>38</v>
      </c>
      <c r="R271" s="292" t="s">
        <v>448</v>
      </c>
      <c r="S271" s="3">
        <v>223.3</v>
      </c>
      <c r="T271" s="11">
        <f t="shared" si="5"/>
        <v>1.721028455159232E-3</v>
      </c>
      <c r="U271" s="1" t="s">
        <v>354</v>
      </c>
      <c r="V271" s="2"/>
      <c r="W271" s="2"/>
      <c r="X271" s="6" t="s">
        <v>356</v>
      </c>
      <c r="Y271" s="1" t="s">
        <v>357</v>
      </c>
    </row>
    <row r="272" spans="16:25">
      <c r="P272" s="2" t="s">
        <v>678</v>
      </c>
      <c r="Q272" s="292" t="s">
        <v>38</v>
      </c>
      <c r="R272" s="292" t="s">
        <v>448</v>
      </c>
      <c r="S272" s="3">
        <v>223.3</v>
      </c>
      <c r="T272" s="11">
        <f t="shared" si="5"/>
        <v>1.721028455159232E-3</v>
      </c>
      <c r="U272" s="1" t="s">
        <v>354</v>
      </c>
      <c r="V272" s="2"/>
      <c r="W272" s="2"/>
      <c r="X272" s="6" t="s">
        <v>356</v>
      </c>
      <c r="Y272" s="1" t="s">
        <v>357</v>
      </c>
    </row>
    <row r="273" spans="16:25">
      <c r="P273" s="2" t="s">
        <v>679</v>
      </c>
      <c r="Q273" s="292" t="s">
        <v>38</v>
      </c>
      <c r="R273" s="292" t="s">
        <v>448</v>
      </c>
      <c r="S273" s="3">
        <v>223.3</v>
      </c>
      <c r="T273" s="11">
        <f t="shared" si="5"/>
        <v>1.721028455159232E-3</v>
      </c>
      <c r="U273" s="1" t="s">
        <v>354</v>
      </c>
      <c r="V273" s="2"/>
      <c r="W273" s="2"/>
      <c r="X273" s="6" t="s">
        <v>356</v>
      </c>
      <c r="Y273" s="1" t="s">
        <v>357</v>
      </c>
    </row>
    <row r="274" spans="16:25">
      <c r="P274" s="2" t="s">
        <v>680</v>
      </c>
      <c r="Q274" s="292" t="s">
        <v>38</v>
      </c>
      <c r="R274" s="292" t="s">
        <v>448</v>
      </c>
      <c r="S274" s="3">
        <v>223.3</v>
      </c>
      <c r="T274" s="11">
        <f t="shared" si="5"/>
        <v>1.721028455159232E-3</v>
      </c>
      <c r="U274" s="1" t="s">
        <v>354</v>
      </c>
      <c r="V274" s="2"/>
      <c r="W274" s="2"/>
      <c r="X274" s="6" t="s">
        <v>356</v>
      </c>
      <c r="Y274" s="1" t="s">
        <v>357</v>
      </c>
    </row>
    <row r="275" spans="16:25">
      <c r="P275" s="2" t="s">
        <v>681</v>
      </c>
      <c r="Q275" s="292" t="s">
        <v>38</v>
      </c>
      <c r="R275" s="292" t="s">
        <v>448</v>
      </c>
      <c r="S275" s="3">
        <v>255.2</v>
      </c>
      <c r="T275" s="11">
        <f t="shared" si="5"/>
        <v>1.9668896630391222E-3</v>
      </c>
      <c r="U275" s="1" t="s">
        <v>354</v>
      </c>
      <c r="V275" s="2"/>
      <c r="W275" s="2"/>
      <c r="X275" s="6" t="s">
        <v>356</v>
      </c>
      <c r="Y275" s="1" t="s">
        <v>357</v>
      </c>
    </row>
    <row r="276" spans="16:25">
      <c r="P276" s="2" t="s">
        <v>682</v>
      </c>
      <c r="Q276" s="292" t="s">
        <v>38</v>
      </c>
      <c r="R276" s="292" t="s">
        <v>448</v>
      </c>
      <c r="S276" s="3">
        <v>223.3</v>
      </c>
      <c r="T276" s="11">
        <f t="shared" si="5"/>
        <v>1.721028455159232E-3</v>
      </c>
      <c r="U276" s="1" t="s">
        <v>354</v>
      </c>
      <c r="V276" s="2"/>
      <c r="W276" s="2"/>
      <c r="X276" s="6" t="s">
        <v>356</v>
      </c>
      <c r="Y276" s="1" t="s">
        <v>357</v>
      </c>
    </row>
    <row r="277" spans="16:25">
      <c r="P277" s="2" t="s">
        <v>683</v>
      </c>
      <c r="Q277" s="292" t="s">
        <v>38</v>
      </c>
      <c r="R277" s="292" t="s">
        <v>448</v>
      </c>
      <c r="S277" s="3">
        <v>191.4</v>
      </c>
      <c r="T277" s="11">
        <f t="shared" si="5"/>
        <v>1.4751672472793416E-3</v>
      </c>
      <c r="U277" s="1" t="s">
        <v>354</v>
      </c>
      <c r="V277" s="2"/>
      <c r="W277" s="2"/>
      <c r="X277" s="6" t="s">
        <v>356</v>
      </c>
      <c r="Y277" s="1" t="s">
        <v>357</v>
      </c>
    </row>
    <row r="278" spans="16:25">
      <c r="P278" s="2" t="s">
        <v>684</v>
      </c>
      <c r="Q278" s="292" t="s">
        <v>38</v>
      </c>
      <c r="R278" s="292" t="s">
        <v>448</v>
      </c>
      <c r="S278" s="3">
        <v>223.3</v>
      </c>
      <c r="T278" s="11">
        <f t="shared" si="5"/>
        <v>1.721028455159232E-3</v>
      </c>
      <c r="U278" s="1" t="s">
        <v>354</v>
      </c>
      <c r="V278" s="2"/>
      <c r="W278" s="2"/>
      <c r="X278" s="6" t="s">
        <v>356</v>
      </c>
      <c r="Y278" s="1" t="s">
        <v>357</v>
      </c>
    </row>
    <row r="279" spans="16:25">
      <c r="P279" s="2" t="s">
        <v>685</v>
      </c>
      <c r="Q279" s="292" t="s">
        <v>38</v>
      </c>
      <c r="R279" s="292" t="s">
        <v>448</v>
      </c>
      <c r="S279" s="3">
        <v>239.25</v>
      </c>
      <c r="T279" s="11">
        <f t="shared" si="5"/>
        <v>1.843959059099177E-3</v>
      </c>
      <c r="U279" s="1" t="s">
        <v>354</v>
      </c>
      <c r="V279" s="2"/>
      <c r="W279" s="2"/>
      <c r="X279" s="6" t="s">
        <v>356</v>
      </c>
      <c r="Y279" s="1" t="s">
        <v>357</v>
      </c>
    </row>
    <row r="280" spans="16:25">
      <c r="P280" s="2" t="s">
        <v>686</v>
      </c>
      <c r="Q280" s="292" t="s">
        <v>38</v>
      </c>
      <c r="R280" s="292" t="s">
        <v>448</v>
      </c>
      <c r="S280" s="3">
        <v>239.25</v>
      </c>
      <c r="T280" s="11">
        <f t="shared" si="5"/>
        <v>1.843959059099177E-3</v>
      </c>
      <c r="U280" s="1" t="s">
        <v>354</v>
      </c>
      <c r="V280" s="2"/>
      <c r="W280" s="2"/>
      <c r="X280" s="6" t="s">
        <v>356</v>
      </c>
      <c r="Y280" s="1" t="s">
        <v>357</v>
      </c>
    </row>
    <row r="281" spans="16:25">
      <c r="P281" s="2" t="s">
        <v>687</v>
      </c>
      <c r="Q281" s="292" t="s">
        <v>38</v>
      </c>
      <c r="R281" s="292" t="s">
        <v>448</v>
      </c>
      <c r="S281" s="3">
        <v>255.2</v>
      </c>
      <c r="T281" s="11">
        <f t="shared" si="5"/>
        <v>1.9668896630391222E-3</v>
      </c>
      <c r="U281" s="1" t="s">
        <v>354</v>
      </c>
      <c r="V281" s="2"/>
      <c r="W281" s="2"/>
      <c r="X281" s="6" t="s">
        <v>356</v>
      </c>
      <c r="Y281" s="1" t="s">
        <v>357</v>
      </c>
    </row>
    <row r="282" spans="16:25">
      <c r="P282" s="2" t="s">
        <v>688</v>
      </c>
      <c r="Q282" s="292" t="s">
        <v>38</v>
      </c>
      <c r="R282" s="292" t="s">
        <v>448</v>
      </c>
      <c r="S282" s="3">
        <v>207.35</v>
      </c>
      <c r="T282" s="11">
        <f t="shared" si="5"/>
        <v>1.5980978512192868E-3</v>
      </c>
      <c r="U282" s="1" t="s">
        <v>354</v>
      </c>
      <c r="V282" s="2"/>
      <c r="W282" s="2"/>
      <c r="X282" s="6" t="s">
        <v>356</v>
      </c>
      <c r="Y282" s="1" t="s">
        <v>357</v>
      </c>
    </row>
    <row r="283" spans="16:25">
      <c r="P283" s="2" t="s">
        <v>689</v>
      </c>
      <c r="Q283" s="292" t="s">
        <v>38</v>
      </c>
      <c r="R283" s="292" t="s">
        <v>448</v>
      </c>
      <c r="S283" s="3">
        <v>223.3</v>
      </c>
      <c r="T283" s="11">
        <f t="shared" si="5"/>
        <v>1.721028455159232E-3</v>
      </c>
      <c r="U283" s="1" t="s">
        <v>354</v>
      </c>
      <c r="V283" s="2"/>
      <c r="W283" s="2"/>
      <c r="X283" s="6" t="s">
        <v>356</v>
      </c>
      <c r="Y283" s="1" t="s">
        <v>357</v>
      </c>
    </row>
    <row r="284" spans="16:25">
      <c r="P284" s="2" t="s">
        <v>690</v>
      </c>
      <c r="Q284" s="292" t="s">
        <v>38</v>
      </c>
      <c r="R284" s="292" t="s">
        <v>448</v>
      </c>
      <c r="S284" s="3">
        <v>223.3</v>
      </c>
      <c r="T284" s="11">
        <f t="shared" si="5"/>
        <v>1.721028455159232E-3</v>
      </c>
      <c r="U284" s="1" t="s">
        <v>354</v>
      </c>
      <c r="V284" s="2"/>
      <c r="W284" s="2"/>
      <c r="X284" s="6" t="s">
        <v>356</v>
      </c>
      <c r="Y284" s="1" t="s">
        <v>357</v>
      </c>
    </row>
    <row r="285" spans="16:25">
      <c r="P285" s="2" t="s">
        <v>691</v>
      </c>
      <c r="Q285" s="292" t="s">
        <v>38</v>
      </c>
      <c r="R285" s="292" t="s">
        <v>448</v>
      </c>
      <c r="S285" s="3">
        <v>255.2</v>
      </c>
      <c r="T285" s="11">
        <f t="shared" si="5"/>
        <v>1.9668896630391222E-3</v>
      </c>
      <c r="U285" s="1" t="s">
        <v>354</v>
      </c>
      <c r="V285" s="2"/>
      <c r="W285" s="2"/>
      <c r="X285" s="6" t="s">
        <v>356</v>
      </c>
      <c r="Y285" s="1" t="s">
        <v>357</v>
      </c>
    </row>
    <row r="286" spans="16:25">
      <c r="P286" s="2" t="s">
        <v>692</v>
      </c>
      <c r="Q286" s="292" t="s">
        <v>38</v>
      </c>
      <c r="R286" s="292" t="s">
        <v>448</v>
      </c>
      <c r="S286" s="3">
        <v>223.3</v>
      </c>
      <c r="T286" s="11">
        <f t="shared" ref="T286:T349" si="6">S286/$B$2</f>
        <v>1.721028455159232E-3</v>
      </c>
      <c r="U286" s="1" t="s">
        <v>354</v>
      </c>
      <c r="V286" s="2"/>
      <c r="W286" s="2"/>
      <c r="X286" s="6" t="s">
        <v>356</v>
      </c>
      <c r="Y286" s="1" t="s">
        <v>357</v>
      </c>
    </row>
    <row r="287" spans="16:25">
      <c r="P287" s="2" t="s">
        <v>693</v>
      </c>
      <c r="Q287" s="292" t="s">
        <v>38</v>
      </c>
      <c r="R287" s="292" t="s">
        <v>448</v>
      </c>
      <c r="S287" s="3">
        <v>255.2</v>
      </c>
      <c r="T287" s="11">
        <f t="shared" si="6"/>
        <v>1.9668896630391222E-3</v>
      </c>
      <c r="U287" s="1" t="s">
        <v>354</v>
      </c>
      <c r="V287" s="2"/>
      <c r="W287" s="2"/>
      <c r="X287" s="6" t="s">
        <v>356</v>
      </c>
      <c r="Y287" s="1" t="s">
        <v>357</v>
      </c>
    </row>
    <row r="288" spans="16:25">
      <c r="P288" s="2" t="s">
        <v>694</v>
      </c>
      <c r="Q288" s="292" t="s">
        <v>38</v>
      </c>
      <c r="R288" s="292" t="s">
        <v>448</v>
      </c>
      <c r="S288" s="3">
        <v>255.2</v>
      </c>
      <c r="T288" s="11">
        <f t="shared" si="6"/>
        <v>1.9668896630391222E-3</v>
      </c>
      <c r="U288" s="1" t="s">
        <v>354</v>
      </c>
      <c r="V288" s="2"/>
      <c r="W288" s="2"/>
      <c r="X288" s="6" t="s">
        <v>356</v>
      </c>
      <c r="Y288" s="1" t="s">
        <v>357</v>
      </c>
    </row>
    <row r="289" spans="16:25">
      <c r="P289" s="2" t="s">
        <v>695</v>
      </c>
      <c r="Q289" s="292" t="s">
        <v>38</v>
      </c>
      <c r="R289" s="292" t="s">
        <v>448</v>
      </c>
      <c r="S289" s="3">
        <v>239.25</v>
      </c>
      <c r="T289" s="11">
        <f t="shared" si="6"/>
        <v>1.843959059099177E-3</v>
      </c>
      <c r="U289" s="1" t="s">
        <v>354</v>
      </c>
      <c r="V289" s="2"/>
      <c r="W289" s="2"/>
      <c r="X289" s="6" t="s">
        <v>356</v>
      </c>
      <c r="Y289" s="1" t="s">
        <v>357</v>
      </c>
    </row>
    <row r="290" spans="16:25">
      <c r="P290" s="2" t="s">
        <v>696</v>
      </c>
      <c r="Q290" s="292" t="s">
        <v>38</v>
      </c>
      <c r="R290" s="292" t="s">
        <v>448</v>
      </c>
      <c r="S290" s="3">
        <v>239.25</v>
      </c>
      <c r="T290" s="11">
        <f t="shared" si="6"/>
        <v>1.843959059099177E-3</v>
      </c>
      <c r="U290" s="1" t="s">
        <v>354</v>
      </c>
      <c r="V290" s="2"/>
      <c r="W290" s="2"/>
      <c r="X290" s="6" t="s">
        <v>356</v>
      </c>
      <c r="Y290" s="1" t="s">
        <v>357</v>
      </c>
    </row>
    <row r="291" spans="16:25">
      <c r="P291" s="2" t="s">
        <v>697</v>
      </c>
      <c r="Q291" s="292" t="s">
        <v>38</v>
      </c>
      <c r="R291" s="292" t="s">
        <v>448</v>
      </c>
      <c r="S291" s="3">
        <v>223.3</v>
      </c>
      <c r="T291" s="11">
        <f t="shared" si="6"/>
        <v>1.721028455159232E-3</v>
      </c>
      <c r="U291" s="1" t="s">
        <v>354</v>
      </c>
      <c r="V291" s="2"/>
      <c r="W291" s="2"/>
      <c r="X291" s="6" t="s">
        <v>356</v>
      </c>
      <c r="Y291" s="1" t="s">
        <v>357</v>
      </c>
    </row>
    <row r="292" spans="16:25">
      <c r="P292" s="2" t="s">
        <v>698</v>
      </c>
      <c r="Q292" s="292" t="s">
        <v>38</v>
      </c>
      <c r="R292" s="292" t="s">
        <v>448</v>
      </c>
      <c r="S292" s="3">
        <v>207.35</v>
      </c>
      <c r="T292" s="11">
        <f t="shared" si="6"/>
        <v>1.5980978512192868E-3</v>
      </c>
      <c r="U292" s="1" t="s">
        <v>354</v>
      </c>
      <c r="V292" s="2"/>
      <c r="W292" s="2"/>
      <c r="X292" s="6" t="s">
        <v>356</v>
      </c>
      <c r="Y292" s="1" t="s">
        <v>357</v>
      </c>
    </row>
    <row r="293" spans="16:25">
      <c r="P293" s="2" t="s">
        <v>699</v>
      </c>
      <c r="Q293" s="292" t="s">
        <v>38</v>
      </c>
      <c r="R293" s="292" t="s">
        <v>448</v>
      </c>
      <c r="S293" s="3">
        <v>223.3</v>
      </c>
      <c r="T293" s="11">
        <f t="shared" si="6"/>
        <v>1.721028455159232E-3</v>
      </c>
      <c r="U293" s="1" t="s">
        <v>354</v>
      </c>
      <c r="V293" s="2"/>
      <c r="W293" s="2"/>
      <c r="X293" s="6" t="s">
        <v>356</v>
      </c>
      <c r="Y293" s="1" t="s">
        <v>357</v>
      </c>
    </row>
    <row r="294" spans="16:25">
      <c r="P294" s="2" t="s">
        <v>700</v>
      </c>
      <c r="Q294" s="292" t="s">
        <v>38</v>
      </c>
      <c r="R294" s="292" t="s">
        <v>448</v>
      </c>
      <c r="S294" s="3">
        <v>191.4</v>
      </c>
      <c r="T294" s="11">
        <f t="shared" si="6"/>
        <v>1.4751672472793416E-3</v>
      </c>
      <c r="U294" s="1" t="s">
        <v>354</v>
      </c>
      <c r="V294" s="2"/>
      <c r="W294" s="2"/>
      <c r="X294" s="6" t="s">
        <v>356</v>
      </c>
      <c r="Y294" s="1" t="s">
        <v>357</v>
      </c>
    </row>
    <row r="295" spans="16:25">
      <c r="P295" s="2" t="s">
        <v>701</v>
      </c>
      <c r="Q295" s="292" t="s">
        <v>38</v>
      </c>
      <c r="R295" s="292" t="s">
        <v>448</v>
      </c>
      <c r="S295" s="3">
        <v>223.3</v>
      </c>
      <c r="T295" s="11">
        <f t="shared" si="6"/>
        <v>1.721028455159232E-3</v>
      </c>
      <c r="U295" s="1" t="s">
        <v>354</v>
      </c>
      <c r="V295" s="2"/>
      <c r="W295" s="2"/>
      <c r="X295" s="6" t="s">
        <v>356</v>
      </c>
      <c r="Y295" s="1" t="s">
        <v>357</v>
      </c>
    </row>
    <row r="296" spans="16:25">
      <c r="P296" s="2" t="s">
        <v>702</v>
      </c>
      <c r="Q296" s="292" t="s">
        <v>38</v>
      </c>
      <c r="R296" s="292" t="s">
        <v>448</v>
      </c>
      <c r="S296" s="3">
        <v>255.2</v>
      </c>
      <c r="T296" s="11">
        <f t="shared" si="6"/>
        <v>1.9668896630391222E-3</v>
      </c>
      <c r="U296" s="1" t="s">
        <v>354</v>
      </c>
      <c r="V296" s="2"/>
      <c r="W296" s="2"/>
      <c r="X296" s="6" t="s">
        <v>356</v>
      </c>
      <c r="Y296" s="1" t="s">
        <v>357</v>
      </c>
    </row>
    <row r="297" spans="16:25">
      <c r="P297" s="2" t="s">
        <v>703</v>
      </c>
      <c r="Q297" s="292" t="s">
        <v>38</v>
      </c>
      <c r="R297" s="292" t="s">
        <v>448</v>
      </c>
      <c r="S297" s="3">
        <v>223.3</v>
      </c>
      <c r="T297" s="11">
        <f t="shared" si="6"/>
        <v>1.721028455159232E-3</v>
      </c>
      <c r="U297" s="1" t="s">
        <v>354</v>
      </c>
      <c r="V297" s="2"/>
      <c r="W297" s="2"/>
      <c r="X297" s="6" t="s">
        <v>356</v>
      </c>
      <c r="Y297" s="1" t="s">
        <v>357</v>
      </c>
    </row>
    <row r="298" spans="16:25">
      <c r="P298" s="2" t="s">
        <v>704</v>
      </c>
      <c r="Q298" s="292" t="s">
        <v>38</v>
      </c>
      <c r="R298" s="292" t="s">
        <v>448</v>
      </c>
      <c r="S298" s="3">
        <v>223.3</v>
      </c>
      <c r="T298" s="11">
        <f t="shared" si="6"/>
        <v>1.721028455159232E-3</v>
      </c>
      <c r="U298" s="1" t="s">
        <v>354</v>
      </c>
      <c r="V298" s="2"/>
      <c r="W298" s="2"/>
      <c r="X298" s="6" t="s">
        <v>356</v>
      </c>
      <c r="Y298" s="1" t="s">
        <v>357</v>
      </c>
    </row>
    <row r="299" spans="16:25">
      <c r="P299" s="2" t="s">
        <v>705</v>
      </c>
      <c r="Q299" s="292" t="s">
        <v>38</v>
      </c>
      <c r="R299" s="292" t="s">
        <v>448</v>
      </c>
      <c r="S299" s="3">
        <v>223.3</v>
      </c>
      <c r="T299" s="11">
        <f t="shared" si="6"/>
        <v>1.721028455159232E-3</v>
      </c>
      <c r="U299" s="1" t="s">
        <v>354</v>
      </c>
      <c r="V299" s="2"/>
      <c r="W299" s="2"/>
      <c r="X299" s="6" t="s">
        <v>356</v>
      </c>
      <c r="Y299" s="1" t="s">
        <v>357</v>
      </c>
    </row>
    <row r="300" spans="16:25">
      <c r="P300" s="2" t="s">
        <v>706</v>
      </c>
      <c r="Q300" s="292" t="s">
        <v>38</v>
      </c>
      <c r="R300" s="292" t="s">
        <v>448</v>
      </c>
      <c r="S300" s="3">
        <v>255.2</v>
      </c>
      <c r="T300" s="11">
        <f t="shared" si="6"/>
        <v>1.9668896630391222E-3</v>
      </c>
      <c r="U300" s="1" t="s">
        <v>354</v>
      </c>
      <c r="V300" s="2"/>
      <c r="W300" s="2"/>
      <c r="X300" s="6" t="s">
        <v>356</v>
      </c>
      <c r="Y300" s="1" t="s">
        <v>357</v>
      </c>
    </row>
    <row r="301" spans="16:25">
      <c r="P301" s="2" t="s">
        <v>707</v>
      </c>
      <c r="Q301" s="292" t="s">
        <v>38</v>
      </c>
      <c r="R301" s="292" t="s">
        <v>448</v>
      </c>
      <c r="S301" s="3">
        <v>207.35</v>
      </c>
      <c r="T301" s="11">
        <f t="shared" si="6"/>
        <v>1.5980978512192868E-3</v>
      </c>
      <c r="U301" s="1" t="s">
        <v>354</v>
      </c>
      <c r="V301" s="2"/>
      <c r="W301" s="2"/>
      <c r="X301" s="6" t="s">
        <v>356</v>
      </c>
      <c r="Y301" s="1" t="s">
        <v>357</v>
      </c>
    </row>
    <row r="302" spans="16:25">
      <c r="P302" s="2" t="s">
        <v>708</v>
      </c>
      <c r="Q302" s="292" t="s">
        <v>38</v>
      </c>
      <c r="R302" s="292" t="s">
        <v>448</v>
      </c>
      <c r="S302" s="3">
        <v>255.2</v>
      </c>
      <c r="T302" s="11">
        <f t="shared" si="6"/>
        <v>1.9668896630391222E-3</v>
      </c>
      <c r="U302" s="1" t="s">
        <v>354</v>
      </c>
      <c r="V302" s="2"/>
      <c r="W302" s="2"/>
      <c r="X302" s="6" t="s">
        <v>356</v>
      </c>
      <c r="Y302" s="1" t="s">
        <v>357</v>
      </c>
    </row>
    <row r="303" spans="16:25">
      <c r="P303" s="2" t="s">
        <v>709</v>
      </c>
      <c r="Q303" s="292" t="s">
        <v>37</v>
      </c>
      <c r="R303" s="292" t="s">
        <v>451</v>
      </c>
      <c r="S303" s="3">
        <v>223.3</v>
      </c>
      <c r="T303" s="11">
        <f t="shared" si="6"/>
        <v>1.721028455159232E-3</v>
      </c>
      <c r="U303" s="1" t="s">
        <v>354</v>
      </c>
      <c r="V303" s="2"/>
      <c r="W303" s="2"/>
      <c r="X303" s="6" t="s">
        <v>356</v>
      </c>
      <c r="Y303" s="1" t="s">
        <v>357</v>
      </c>
    </row>
    <row r="304" spans="16:25">
      <c r="P304" s="2" t="s">
        <v>710</v>
      </c>
      <c r="Q304" s="292" t="s">
        <v>37</v>
      </c>
      <c r="R304" s="292" t="s">
        <v>451</v>
      </c>
      <c r="S304" s="3">
        <v>223.3</v>
      </c>
      <c r="T304" s="11">
        <f t="shared" si="6"/>
        <v>1.721028455159232E-3</v>
      </c>
      <c r="U304" s="1" t="s">
        <v>354</v>
      </c>
      <c r="V304" s="2"/>
      <c r="W304" s="2"/>
      <c r="X304" s="6" t="s">
        <v>356</v>
      </c>
      <c r="Y304" s="1" t="s">
        <v>357</v>
      </c>
    </row>
    <row r="305" spans="16:25">
      <c r="P305" s="2" t="s">
        <v>711</v>
      </c>
      <c r="Q305" s="292" t="s">
        <v>37</v>
      </c>
      <c r="R305" s="292" t="s">
        <v>451</v>
      </c>
      <c r="S305" s="3">
        <v>223.3</v>
      </c>
      <c r="T305" s="11">
        <f t="shared" si="6"/>
        <v>1.721028455159232E-3</v>
      </c>
      <c r="U305" s="1" t="s">
        <v>354</v>
      </c>
      <c r="V305" s="2"/>
      <c r="W305" s="2"/>
      <c r="X305" s="6" t="s">
        <v>356</v>
      </c>
      <c r="Y305" s="1" t="s">
        <v>357</v>
      </c>
    </row>
    <row r="306" spans="16:25">
      <c r="P306" s="2" t="s">
        <v>712</v>
      </c>
      <c r="Q306" s="292" t="s">
        <v>37</v>
      </c>
      <c r="R306" s="292" t="s">
        <v>451</v>
      </c>
      <c r="S306" s="3">
        <v>271.14999999999998</v>
      </c>
      <c r="T306" s="11">
        <f t="shared" si="6"/>
        <v>2.0898202669790674E-3</v>
      </c>
      <c r="U306" s="1" t="s">
        <v>354</v>
      </c>
      <c r="V306" s="2"/>
      <c r="W306" s="2"/>
      <c r="X306" s="6" t="s">
        <v>356</v>
      </c>
      <c r="Y306" s="1" t="s">
        <v>357</v>
      </c>
    </row>
    <row r="307" spans="16:25">
      <c r="P307" s="2" t="s">
        <v>713</v>
      </c>
      <c r="Q307" s="292" t="s">
        <v>37</v>
      </c>
      <c r="R307" s="292" t="s">
        <v>451</v>
      </c>
      <c r="S307" s="3">
        <v>223.3</v>
      </c>
      <c r="T307" s="11">
        <f t="shared" si="6"/>
        <v>1.721028455159232E-3</v>
      </c>
      <c r="U307" s="1" t="s">
        <v>354</v>
      </c>
      <c r="V307" s="2"/>
      <c r="W307" s="2"/>
      <c r="X307" s="6" t="s">
        <v>356</v>
      </c>
      <c r="Y307" s="1" t="s">
        <v>357</v>
      </c>
    </row>
    <row r="308" spans="16:25">
      <c r="P308" s="2" t="s">
        <v>714</v>
      </c>
      <c r="Q308" s="292" t="s">
        <v>37</v>
      </c>
      <c r="R308" s="292" t="s">
        <v>451</v>
      </c>
      <c r="S308" s="3">
        <v>223.3</v>
      </c>
      <c r="T308" s="11">
        <f t="shared" si="6"/>
        <v>1.721028455159232E-3</v>
      </c>
      <c r="U308" s="1" t="s">
        <v>354</v>
      </c>
      <c r="V308" s="2"/>
      <c r="W308" s="2"/>
      <c r="X308" s="6" t="s">
        <v>356</v>
      </c>
      <c r="Y308" s="1" t="s">
        <v>357</v>
      </c>
    </row>
    <row r="309" spans="16:25">
      <c r="P309" s="2" t="s">
        <v>715</v>
      </c>
      <c r="Q309" s="292" t="s">
        <v>37</v>
      </c>
      <c r="R309" s="292" t="s">
        <v>451</v>
      </c>
      <c r="S309" s="3">
        <v>223.3</v>
      </c>
      <c r="T309" s="11">
        <f t="shared" si="6"/>
        <v>1.721028455159232E-3</v>
      </c>
      <c r="U309" s="1" t="s">
        <v>354</v>
      </c>
      <c r="V309" s="2"/>
      <c r="W309" s="2"/>
      <c r="X309" s="6" t="s">
        <v>356</v>
      </c>
      <c r="Y309" s="1" t="s">
        <v>357</v>
      </c>
    </row>
    <row r="310" spans="16:25">
      <c r="P310" s="2" t="s">
        <v>716</v>
      </c>
      <c r="Q310" s="292" t="s">
        <v>37</v>
      </c>
      <c r="R310" s="292" t="s">
        <v>451</v>
      </c>
      <c r="S310" s="3">
        <v>223.3</v>
      </c>
      <c r="T310" s="11">
        <f t="shared" si="6"/>
        <v>1.721028455159232E-3</v>
      </c>
      <c r="U310" s="1" t="s">
        <v>354</v>
      </c>
      <c r="V310" s="2"/>
      <c r="W310" s="2"/>
      <c r="X310" s="6" t="s">
        <v>356</v>
      </c>
      <c r="Y310" s="1" t="s">
        <v>357</v>
      </c>
    </row>
    <row r="311" spans="16:25">
      <c r="P311" s="2" t="s">
        <v>717</v>
      </c>
      <c r="Q311" s="292" t="s">
        <v>37</v>
      </c>
      <c r="R311" s="292" t="s">
        <v>451</v>
      </c>
      <c r="S311" s="3">
        <v>255.2</v>
      </c>
      <c r="T311" s="11">
        <f t="shared" si="6"/>
        <v>1.9668896630391222E-3</v>
      </c>
      <c r="U311" s="1" t="s">
        <v>354</v>
      </c>
      <c r="V311" s="2"/>
      <c r="W311" s="2"/>
      <c r="X311" s="6" t="s">
        <v>356</v>
      </c>
      <c r="Y311" s="1" t="s">
        <v>357</v>
      </c>
    </row>
    <row r="312" spans="16:25">
      <c r="P312" s="2" t="s">
        <v>718</v>
      </c>
      <c r="Q312" s="292" t="s">
        <v>37</v>
      </c>
      <c r="R312" s="292" t="s">
        <v>451</v>
      </c>
      <c r="S312" s="3">
        <v>255.2</v>
      </c>
      <c r="T312" s="11">
        <f t="shared" si="6"/>
        <v>1.9668896630391222E-3</v>
      </c>
      <c r="U312" s="1" t="s">
        <v>354</v>
      </c>
      <c r="V312" s="2"/>
      <c r="W312" s="2"/>
      <c r="X312" s="6" t="s">
        <v>356</v>
      </c>
      <c r="Y312" s="1" t="s">
        <v>357</v>
      </c>
    </row>
    <row r="313" spans="16:25">
      <c r="P313" s="2" t="s">
        <v>719</v>
      </c>
      <c r="Q313" s="292" t="s">
        <v>37</v>
      </c>
      <c r="R313" s="292" t="s">
        <v>451</v>
      </c>
      <c r="S313" s="3">
        <v>255.2</v>
      </c>
      <c r="T313" s="11">
        <f t="shared" si="6"/>
        <v>1.9668896630391222E-3</v>
      </c>
      <c r="U313" s="1" t="s">
        <v>354</v>
      </c>
      <c r="V313" s="2"/>
      <c r="W313" s="2"/>
      <c r="X313" s="6" t="s">
        <v>356</v>
      </c>
      <c r="Y313" s="1" t="s">
        <v>357</v>
      </c>
    </row>
    <row r="314" spans="16:25">
      <c r="P314" s="2" t="s">
        <v>720</v>
      </c>
      <c r="Q314" s="292" t="s">
        <v>37</v>
      </c>
      <c r="R314" s="292" t="s">
        <v>451</v>
      </c>
      <c r="S314" s="3">
        <v>223.3</v>
      </c>
      <c r="T314" s="11">
        <f t="shared" si="6"/>
        <v>1.721028455159232E-3</v>
      </c>
      <c r="U314" s="1" t="s">
        <v>354</v>
      </c>
      <c r="V314" s="2"/>
      <c r="W314" s="2"/>
      <c r="X314" s="6" t="s">
        <v>356</v>
      </c>
      <c r="Y314" s="1" t="s">
        <v>357</v>
      </c>
    </row>
    <row r="315" spans="16:25">
      <c r="P315" s="2" t="s">
        <v>721</v>
      </c>
      <c r="Q315" s="292" t="s">
        <v>37</v>
      </c>
      <c r="R315" s="292" t="s">
        <v>451</v>
      </c>
      <c r="S315" s="3">
        <v>239.25</v>
      </c>
      <c r="T315" s="11">
        <f t="shared" si="6"/>
        <v>1.843959059099177E-3</v>
      </c>
      <c r="U315" s="1" t="s">
        <v>354</v>
      </c>
      <c r="V315" s="2"/>
      <c r="W315" s="2"/>
      <c r="X315" s="6" t="s">
        <v>356</v>
      </c>
      <c r="Y315" s="1" t="s">
        <v>357</v>
      </c>
    </row>
    <row r="316" spans="16:25">
      <c r="P316" s="2" t="s">
        <v>722</v>
      </c>
      <c r="Q316" s="292" t="s">
        <v>37</v>
      </c>
      <c r="R316" s="292" t="s">
        <v>451</v>
      </c>
      <c r="S316" s="3">
        <v>223.3</v>
      </c>
      <c r="T316" s="11">
        <f t="shared" si="6"/>
        <v>1.721028455159232E-3</v>
      </c>
      <c r="U316" s="1" t="s">
        <v>354</v>
      </c>
      <c r="V316" s="2"/>
      <c r="W316" s="2"/>
      <c r="X316" s="6" t="s">
        <v>356</v>
      </c>
      <c r="Y316" s="1" t="s">
        <v>357</v>
      </c>
    </row>
    <row r="317" spans="16:25">
      <c r="P317" s="2" t="s">
        <v>723</v>
      </c>
      <c r="Q317" s="292" t="s">
        <v>37</v>
      </c>
      <c r="R317" s="292" t="s">
        <v>451</v>
      </c>
      <c r="S317" s="3">
        <v>223.3</v>
      </c>
      <c r="T317" s="11">
        <f t="shared" si="6"/>
        <v>1.721028455159232E-3</v>
      </c>
      <c r="U317" s="1" t="s">
        <v>354</v>
      </c>
      <c r="V317" s="2"/>
      <c r="W317" s="2"/>
      <c r="X317" s="6" t="s">
        <v>356</v>
      </c>
      <c r="Y317" s="1" t="s">
        <v>357</v>
      </c>
    </row>
    <row r="318" spans="16:25">
      <c r="P318" s="2" t="s">
        <v>724</v>
      </c>
      <c r="Q318" s="292" t="s">
        <v>37</v>
      </c>
      <c r="R318" s="292" t="s">
        <v>451</v>
      </c>
      <c r="S318" s="3">
        <v>223.3</v>
      </c>
      <c r="T318" s="11">
        <f t="shared" si="6"/>
        <v>1.721028455159232E-3</v>
      </c>
      <c r="U318" s="1" t="s">
        <v>354</v>
      </c>
      <c r="V318" s="2"/>
      <c r="W318" s="2"/>
      <c r="X318" s="6" t="s">
        <v>356</v>
      </c>
      <c r="Y318" s="1" t="s">
        <v>357</v>
      </c>
    </row>
    <row r="319" spans="16:25">
      <c r="P319" s="2" t="s">
        <v>725</v>
      </c>
      <c r="Q319" s="292" t="s">
        <v>37</v>
      </c>
      <c r="R319" s="292" t="s">
        <v>451</v>
      </c>
      <c r="S319" s="3">
        <v>255.2</v>
      </c>
      <c r="T319" s="11">
        <f t="shared" si="6"/>
        <v>1.9668896630391222E-3</v>
      </c>
      <c r="U319" s="1" t="s">
        <v>354</v>
      </c>
      <c r="V319" s="2"/>
      <c r="W319" s="2"/>
      <c r="X319" s="6" t="s">
        <v>356</v>
      </c>
      <c r="Y319" s="1" t="s">
        <v>357</v>
      </c>
    </row>
    <row r="320" spans="16:25">
      <c r="P320" s="2" t="s">
        <v>726</v>
      </c>
      <c r="Q320" s="292" t="s">
        <v>37</v>
      </c>
      <c r="R320" s="292" t="s">
        <v>451</v>
      </c>
      <c r="S320" s="3">
        <v>255.2</v>
      </c>
      <c r="T320" s="11">
        <f t="shared" si="6"/>
        <v>1.9668896630391222E-3</v>
      </c>
      <c r="U320" s="1" t="s">
        <v>354</v>
      </c>
      <c r="V320" s="2"/>
      <c r="W320" s="2"/>
      <c r="X320" s="6" t="s">
        <v>356</v>
      </c>
      <c r="Y320" s="1" t="s">
        <v>357</v>
      </c>
    </row>
    <row r="321" spans="16:25">
      <c r="P321" s="2" t="s">
        <v>727</v>
      </c>
      <c r="Q321" s="292" t="s">
        <v>37</v>
      </c>
      <c r="R321" s="292" t="s">
        <v>451</v>
      </c>
      <c r="S321" s="3">
        <v>255.2</v>
      </c>
      <c r="T321" s="11">
        <f t="shared" si="6"/>
        <v>1.9668896630391222E-3</v>
      </c>
      <c r="U321" s="1" t="s">
        <v>354</v>
      </c>
      <c r="V321" s="2"/>
      <c r="W321" s="2"/>
      <c r="X321" s="6" t="s">
        <v>356</v>
      </c>
      <c r="Y321" s="1" t="s">
        <v>357</v>
      </c>
    </row>
    <row r="322" spans="16:25">
      <c r="P322" s="2" t="s">
        <v>728</v>
      </c>
      <c r="Q322" s="292" t="s">
        <v>37</v>
      </c>
      <c r="R322" s="292" t="s">
        <v>451</v>
      </c>
      <c r="S322" s="3">
        <v>255.2</v>
      </c>
      <c r="T322" s="11">
        <f t="shared" si="6"/>
        <v>1.9668896630391222E-3</v>
      </c>
      <c r="U322" s="1" t="s">
        <v>354</v>
      </c>
      <c r="V322" s="2"/>
      <c r="W322" s="2"/>
      <c r="X322" s="6" t="s">
        <v>356</v>
      </c>
      <c r="Y322" s="1" t="s">
        <v>357</v>
      </c>
    </row>
    <row r="323" spans="16:25">
      <c r="P323" s="2" t="s">
        <v>729</v>
      </c>
      <c r="Q323" s="292" t="s">
        <v>37</v>
      </c>
      <c r="R323" s="292" t="s">
        <v>451</v>
      </c>
      <c r="S323" s="3">
        <v>191.4</v>
      </c>
      <c r="T323" s="11">
        <f t="shared" si="6"/>
        <v>1.4751672472793416E-3</v>
      </c>
      <c r="U323" s="1" t="s">
        <v>354</v>
      </c>
      <c r="V323" s="2"/>
      <c r="W323" s="2"/>
      <c r="X323" s="6" t="s">
        <v>356</v>
      </c>
      <c r="Y323" s="1" t="s">
        <v>357</v>
      </c>
    </row>
    <row r="324" spans="16:25">
      <c r="P324" s="2" t="s">
        <v>730</v>
      </c>
      <c r="Q324" s="292" t="s">
        <v>37</v>
      </c>
      <c r="R324" s="292" t="s">
        <v>451</v>
      </c>
      <c r="S324" s="3">
        <v>223.3</v>
      </c>
      <c r="T324" s="11">
        <f t="shared" si="6"/>
        <v>1.721028455159232E-3</v>
      </c>
      <c r="U324" s="1" t="s">
        <v>354</v>
      </c>
      <c r="V324" s="2"/>
      <c r="W324" s="2"/>
      <c r="X324" s="6" t="s">
        <v>356</v>
      </c>
      <c r="Y324" s="1" t="s">
        <v>357</v>
      </c>
    </row>
    <row r="325" spans="16:25">
      <c r="P325" s="2" t="s">
        <v>731</v>
      </c>
      <c r="Q325" s="292" t="s">
        <v>37</v>
      </c>
      <c r="R325" s="292" t="s">
        <v>451</v>
      </c>
      <c r="S325" s="3">
        <v>223.3</v>
      </c>
      <c r="T325" s="11">
        <f t="shared" si="6"/>
        <v>1.721028455159232E-3</v>
      </c>
      <c r="U325" s="1" t="s">
        <v>354</v>
      </c>
      <c r="V325" s="2"/>
      <c r="W325" s="2"/>
      <c r="X325" s="6" t="s">
        <v>356</v>
      </c>
      <c r="Y325" s="1" t="s">
        <v>357</v>
      </c>
    </row>
    <row r="326" spans="16:25">
      <c r="P326" s="2" t="s">
        <v>732</v>
      </c>
      <c r="Q326" s="292" t="s">
        <v>37</v>
      </c>
      <c r="R326" s="292" t="s">
        <v>451</v>
      </c>
      <c r="S326" s="3">
        <v>223.3</v>
      </c>
      <c r="T326" s="11">
        <f t="shared" si="6"/>
        <v>1.721028455159232E-3</v>
      </c>
      <c r="U326" s="1" t="s">
        <v>354</v>
      </c>
      <c r="V326" s="2"/>
      <c r="W326" s="2"/>
      <c r="X326" s="6" t="s">
        <v>356</v>
      </c>
      <c r="Y326" s="1" t="s">
        <v>357</v>
      </c>
    </row>
    <row r="327" spans="16:25">
      <c r="P327" s="2" t="s">
        <v>733</v>
      </c>
      <c r="Q327" s="292" t="s">
        <v>37</v>
      </c>
      <c r="R327" s="292" t="s">
        <v>451</v>
      </c>
      <c r="S327" s="3">
        <v>223.3</v>
      </c>
      <c r="T327" s="11">
        <f t="shared" si="6"/>
        <v>1.721028455159232E-3</v>
      </c>
      <c r="U327" s="1" t="s">
        <v>354</v>
      </c>
      <c r="V327" s="2"/>
      <c r="W327" s="2"/>
      <c r="X327" s="6" t="s">
        <v>356</v>
      </c>
      <c r="Y327" s="1" t="s">
        <v>357</v>
      </c>
    </row>
    <row r="328" spans="16:25">
      <c r="P328" s="2" t="s">
        <v>734</v>
      </c>
      <c r="Q328" s="292" t="s">
        <v>37</v>
      </c>
      <c r="R328" s="292" t="s">
        <v>451</v>
      </c>
      <c r="S328" s="3">
        <v>223.3</v>
      </c>
      <c r="T328" s="11">
        <f t="shared" si="6"/>
        <v>1.721028455159232E-3</v>
      </c>
      <c r="U328" s="1" t="s">
        <v>354</v>
      </c>
      <c r="V328" s="2"/>
      <c r="W328" s="2"/>
      <c r="X328" s="6" t="s">
        <v>356</v>
      </c>
      <c r="Y328" s="1" t="s">
        <v>357</v>
      </c>
    </row>
    <row r="329" spans="16:25">
      <c r="P329" s="2" t="s">
        <v>735</v>
      </c>
      <c r="Q329" s="292" t="s">
        <v>37</v>
      </c>
      <c r="R329" s="292" t="s">
        <v>451</v>
      </c>
      <c r="S329" s="3">
        <v>223.3</v>
      </c>
      <c r="T329" s="11">
        <f t="shared" si="6"/>
        <v>1.721028455159232E-3</v>
      </c>
      <c r="U329" s="1" t="s">
        <v>354</v>
      </c>
      <c r="V329" s="2"/>
      <c r="W329" s="2"/>
      <c r="X329" s="6" t="s">
        <v>356</v>
      </c>
      <c r="Y329" s="1" t="s">
        <v>357</v>
      </c>
    </row>
    <row r="330" spans="16:25">
      <c r="P330" s="2" t="s">
        <v>736</v>
      </c>
      <c r="Q330" s="292" t="s">
        <v>37</v>
      </c>
      <c r="R330" s="292" t="s">
        <v>451</v>
      </c>
      <c r="S330" s="3">
        <v>223.3</v>
      </c>
      <c r="T330" s="11">
        <f t="shared" si="6"/>
        <v>1.721028455159232E-3</v>
      </c>
      <c r="U330" s="1" t="s">
        <v>354</v>
      </c>
      <c r="V330" s="2"/>
      <c r="W330" s="2"/>
      <c r="X330" s="6" t="s">
        <v>356</v>
      </c>
      <c r="Y330" s="1" t="s">
        <v>357</v>
      </c>
    </row>
    <row r="331" spans="16:25">
      <c r="P331" s="2" t="s">
        <v>737</v>
      </c>
      <c r="Q331" s="292" t="s">
        <v>37</v>
      </c>
      <c r="R331" s="292" t="s">
        <v>451</v>
      </c>
      <c r="S331" s="3">
        <v>255.2</v>
      </c>
      <c r="T331" s="11">
        <f t="shared" si="6"/>
        <v>1.9668896630391222E-3</v>
      </c>
      <c r="U331" s="1" t="s">
        <v>354</v>
      </c>
      <c r="V331" s="2"/>
      <c r="W331" s="2"/>
      <c r="X331" s="6" t="s">
        <v>356</v>
      </c>
      <c r="Y331" s="1" t="s">
        <v>357</v>
      </c>
    </row>
    <row r="332" spans="16:25">
      <c r="P332" s="2" t="s">
        <v>738</v>
      </c>
      <c r="Q332" s="292" t="s">
        <v>37</v>
      </c>
      <c r="R332" s="292" t="s">
        <v>451</v>
      </c>
      <c r="S332" s="3">
        <v>223.3</v>
      </c>
      <c r="T332" s="11">
        <f t="shared" si="6"/>
        <v>1.721028455159232E-3</v>
      </c>
      <c r="U332" s="1" t="s">
        <v>354</v>
      </c>
      <c r="V332" s="2"/>
      <c r="W332" s="2"/>
      <c r="X332" s="6" t="s">
        <v>356</v>
      </c>
      <c r="Y332" s="1" t="s">
        <v>357</v>
      </c>
    </row>
    <row r="333" spans="16:25">
      <c r="P333" s="2" t="s">
        <v>739</v>
      </c>
      <c r="Q333" s="292" t="s">
        <v>37</v>
      </c>
      <c r="R333" s="292" t="s">
        <v>451</v>
      </c>
      <c r="S333" s="3">
        <v>255.2</v>
      </c>
      <c r="T333" s="11">
        <f t="shared" si="6"/>
        <v>1.9668896630391222E-3</v>
      </c>
      <c r="U333" s="1" t="s">
        <v>354</v>
      </c>
      <c r="V333" s="2"/>
      <c r="W333" s="2"/>
      <c r="X333" s="6" t="s">
        <v>356</v>
      </c>
      <c r="Y333" s="1" t="s">
        <v>357</v>
      </c>
    </row>
    <row r="334" spans="16:25">
      <c r="P334" s="2" t="s">
        <v>740</v>
      </c>
      <c r="Q334" s="292" t="s">
        <v>37</v>
      </c>
      <c r="R334" s="292" t="s">
        <v>451</v>
      </c>
      <c r="S334" s="3">
        <v>223.3</v>
      </c>
      <c r="T334" s="11">
        <f t="shared" si="6"/>
        <v>1.721028455159232E-3</v>
      </c>
      <c r="U334" s="1" t="s">
        <v>354</v>
      </c>
      <c r="V334" s="2"/>
      <c r="W334" s="2"/>
      <c r="X334" s="6" t="s">
        <v>356</v>
      </c>
      <c r="Y334" s="1" t="s">
        <v>357</v>
      </c>
    </row>
    <row r="335" spans="16:25">
      <c r="P335" s="2" t="s">
        <v>741</v>
      </c>
      <c r="Q335" s="292" t="s">
        <v>39</v>
      </c>
      <c r="R335" s="292" t="s">
        <v>452</v>
      </c>
      <c r="S335" s="3">
        <v>252.88</v>
      </c>
      <c r="T335" s="11">
        <f t="shared" si="6"/>
        <v>1.9490088479205848E-3</v>
      </c>
      <c r="U335" s="1" t="s">
        <v>354</v>
      </c>
      <c r="V335" s="2"/>
      <c r="W335" s="2"/>
      <c r="X335" s="6" t="s">
        <v>356</v>
      </c>
      <c r="Y335" s="1" t="s">
        <v>357</v>
      </c>
    </row>
    <row r="336" spans="16:25">
      <c r="P336" s="2" t="s">
        <v>742</v>
      </c>
      <c r="Q336" s="292" t="s">
        <v>39</v>
      </c>
      <c r="R336" s="292" t="s">
        <v>452</v>
      </c>
      <c r="S336" s="3">
        <v>252.88</v>
      </c>
      <c r="T336" s="11">
        <f t="shared" si="6"/>
        <v>1.9490088479205848E-3</v>
      </c>
      <c r="U336" s="1" t="s">
        <v>354</v>
      </c>
      <c r="V336" s="2"/>
      <c r="W336" s="2"/>
      <c r="X336" s="6" t="s">
        <v>356</v>
      </c>
      <c r="Y336" s="1" t="s">
        <v>357</v>
      </c>
    </row>
    <row r="337" spans="16:25">
      <c r="P337" s="2" t="s">
        <v>743</v>
      </c>
      <c r="Q337" s="292" t="s">
        <v>39</v>
      </c>
      <c r="R337" s="292" t="s">
        <v>452</v>
      </c>
      <c r="S337" s="3">
        <v>252.88</v>
      </c>
      <c r="T337" s="11">
        <f t="shared" si="6"/>
        <v>1.9490088479205848E-3</v>
      </c>
      <c r="U337" s="1" t="s">
        <v>354</v>
      </c>
      <c r="V337" s="2"/>
      <c r="W337" s="2"/>
      <c r="X337" s="6" t="s">
        <v>356</v>
      </c>
      <c r="Y337" s="1" t="s">
        <v>357</v>
      </c>
    </row>
    <row r="338" spans="16:25">
      <c r="P338" s="2" t="s">
        <v>744</v>
      </c>
      <c r="Q338" s="292" t="s">
        <v>39</v>
      </c>
      <c r="R338" s="292" t="s">
        <v>452</v>
      </c>
      <c r="S338" s="3">
        <v>221.27</v>
      </c>
      <c r="T338" s="11">
        <f t="shared" si="6"/>
        <v>1.7053827419305117E-3</v>
      </c>
      <c r="U338" s="1" t="s">
        <v>354</v>
      </c>
      <c r="V338" s="2"/>
      <c r="W338" s="2"/>
      <c r="X338" s="6" t="s">
        <v>356</v>
      </c>
      <c r="Y338" s="1" t="s">
        <v>357</v>
      </c>
    </row>
    <row r="339" spans="16:25">
      <c r="P339" s="2" t="s">
        <v>745</v>
      </c>
      <c r="Q339" s="292" t="s">
        <v>39</v>
      </c>
      <c r="R339" s="292" t="s">
        <v>452</v>
      </c>
      <c r="S339" s="3">
        <v>252.88</v>
      </c>
      <c r="T339" s="11">
        <f t="shared" si="6"/>
        <v>1.9490088479205848E-3</v>
      </c>
      <c r="U339" s="1" t="s">
        <v>354</v>
      </c>
      <c r="V339" s="2"/>
      <c r="W339" s="2"/>
      <c r="X339" s="6" t="s">
        <v>356</v>
      </c>
      <c r="Y339" s="1" t="s">
        <v>357</v>
      </c>
    </row>
    <row r="340" spans="16:25">
      <c r="P340" s="2" t="s">
        <v>746</v>
      </c>
      <c r="Q340" s="292" t="s">
        <v>39</v>
      </c>
      <c r="R340" s="292" t="s">
        <v>452</v>
      </c>
      <c r="S340" s="3">
        <v>252.88</v>
      </c>
      <c r="T340" s="11">
        <f t="shared" si="6"/>
        <v>1.9490088479205848E-3</v>
      </c>
      <c r="U340" s="1" t="s">
        <v>354</v>
      </c>
      <c r="V340" s="2"/>
      <c r="W340" s="2"/>
      <c r="X340" s="6" t="s">
        <v>356</v>
      </c>
      <c r="Y340" s="1" t="s">
        <v>357</v>
      </c>
    </row>
    <row r="341" spans="16:25">
      <c r="P341" s="2" t="s">
        <v>747</v>
      </c>
      <c r="Q341" s="292" t="s">
        <v>39</v>
      </c>
      <c r="R341" s="292" t="s">
        <v>452</v>
      </c>
      <c r="S341" s="3">
        <v>252.88</v>
      </c>
      <c r="T341" s="11">
        <f t="shared" si="6"/>
        <v>1.9490088479205848E-3</v>
      </c>
      <c r="U341" s="1" t="s">
        <v>354</v>
      </c>
      <c r="V341" s="2"/>
      <c r="W341" s="2"/>
      <c r="X341" s="6" t="s">
        <v>356</v>
      </c>
      <c r="Y341" s="1" t="s">
        <v>357</v>
      </c>
    </row>
    <row r="342" spans="16:25">
      <c r="P342" s="2" t="s">
        <v>748</v>
      </c>
      <c r="Q342" s="292" t="s">
        <v>39</v>
      </c>
      <c r="R342" s="292" t="s">
        <v>452</v>
      </c>
      <c r="S342" s="3">
        <v>221.27</v>
      </c>
      <c r="T342" s="11">
        <f t="shared" si="6"/>
        <v>1.7053827419305117E-3</v>
      </c>
      <c r="U342" s="1" t="s">
        <v>354</v>
      </c>
      <c r="V342" s="2"/>
      <c r="W342" s="2"/>
      <c r="X342" s="6" t="s">
        <v>356</v>
      </c>
      <c r="Y342" s="1" t="s">
        <v>357</v>
      </c>
    </row>
    <row r="343" spans="16:25">
      <c r="P343" s="2" t="s">
        <v>749</v>
      </c>
      <c r="Q343" s="292" t="s">
        <v>39</v>
      </c>
      <c r="R343" s="292" t="s">
        <v>452</v>
      </c>
      <c r="S343" s="3">
        <v>252.88</v>
      </c>
      <c r="T343" s="11">
        <f t="shared" si="6"/>
        <v>1.9490088479205848E-3</v>
      </c>
      <c r="U343" s="1" t="s">
        <v>354</v>
      </c>
      <c r="V343" s="2"/>
      <c r="W343" s="2"/>
      <c r="X343" s="6" t="s">
        <v>356</v>
      </c>
      <c r="Y343" s="1" t="s">
        <v>357</v>
      </c>
    </row>
    <row r="344" spans="16:25">
      <c r="P344" s="2" t="s">
        <v>750</v>
      </c>
      <c r="Q344" s="292" t="s">
        <v>39</v>
      </c>
      <c r="R344" s="292" t="s">
        <v>452</v>
      </c>
      <c r="S344" s="3">
        <v>252.88</v>
      </c>
      <c r="T344" s="11">
        <f t="shared" si="6"/>
        <v>1.9490088479205848E-3</v>
      </c>
      <c r="U344" s="1" t="s">
        <v>354</v>
      </c>
      <c r="V344" s="2"/>
      <c r="W344" s="2"/>
      <c r="X344" s="6" t="s">
        <v>356</v>
      </c>
      <c r="Y344" s="1" t="s">
        <v>357</v>
      </c>
    </row>
    <row r="345" spans="16:25">
      <c r="P345" s="2" t="s">
        <v>751</v>
      </c>
      <c r="Q345" s="292" t="s">
        <v>39</v>
      </c>
      <c r="R345" s="292" t="s">
        <v>452</v>
      </c>
      <c r="S345" s="3">
        <v>252.88</v>
      </c>
      <c r="T345" s="11">
        <f t="shared" si="6"/>
        <v>1.9490088479205848E-3</v>
      </c>
      <c r="U345" s="1" t="s">
        <v>354</v>
      </c>
      <c r="V345" s="2"/>
      <c r="W345" s="2"/>
      <c r="X345" s="6" t="s">
        <v>356</v>
      </c>
      <c r="Y345" s="1" t="s">
        <v>357</v>
      </c>
    </row>
    <row r="346" spans="16:25">
      <c r="P346" s="2" t="s">
        <v>752</v>
      </c>
      <c r="Q346" s="292" t="s">
        <v>39</v>
      </c>
      <c r="R346" s="292" t="s">
        <v>452</v>
      </c>
      <c r="S346" s="3">
        <v>252.88</v>
      </c>
      <c r="T346" s="11">
        <f t="shared" si="6"/>
        <v>1.9490088479205848E-3</v>
      </c>
      <c r="U346" s="1" t="s">
        <v>354</v>
      </c>
      <c r="V346" s="2"/>
      <c r="W346" s="2"/>
      <c r="X346" s="6" t="s">
        <v>356</v>
      </c>
      <c r="Y346" s="1" t="s">
        <v>357</v>
      </c>
    </row>
    <row r="347" spans="16:25">
      <c r="P347" s="2" t="s">
        <v>753</v>
      </c>
      <c r="Q347" s="292" t="s">
        <v>40</v>
      </c>
      <c r="R347" s="292" t="s">
        <v>453</v>
      </c>
      <c r="S347" s="3">
        <v>252.88</v>
      </c>
      <c r="T347" s="11">
        <f t="shared" si="6"/>
        <v>1.9490088479205848E-3</v>
      </c>
      <c r="U347" s="1" t="s">
        <v>354</v>
      </c>
      <c r="V347" s="2"/>
      <c r="W347" s="2"/>
      <c r="X347" s="6" t="s">
        <v>356</v>
      </c>
      <c r="Y347" s="1" t="s">
        <v>357</v>
      </c>
    </row>
    <row r="348" spans="16:25">
      <c r="P348" s="2" t="s">
        <v>754</v>
      </c>
      <c r="Q348" s="292" t="s">
        <v>40</v>
      </c>
      <c r="R348" s="292" t="s">
        <v>453</v>
      </c>
      <c r="S348" s="3">
        <v>252.88</v>
      </c>
      <c r="T348" s="11">
        <f t="shared" si="6"/>
        <v>1.9490088479205848E-3</v>
      </c>
      <c r="U348" s="1" t="s">
        <v>354</v>
      </c>
      <c r="V348" s="2"/>
      <c r="W348" s="2"/>
      <c r="X348" s="6" t="s">
        <v>356</v>
      </c>
      <c r="Y348" s="1" t="s">
        <v>357</v>
      </c>
    </row>
    <row r="349" spans="16:25">
      <c r="P349" s="2" t="s">
        <v>755</v>
      </c>
      <c r="Q349" s="292" t="s">
        <v>40</v>
      </c>
      <c r="R349" s="292" t="s">
        <v>453</v>
      </c>
      <c r="S349" s="3">
        <v>221.27</v>
      </c>
      <c r="T349" s="11">
        <f t="shared" si="6"/>
        <v>1.7053827419305117E-3</v>
      </c>
      <c r="U349" s="1" t="s">
        <v>354</v>
      </c>
      <c r="V349" s="2"/>
      <c r="W349" s="2"/>
      <c r="X349" s="6" t="s">
        <v>356</v>
      </c>
      <c r="Y349" s="1" t="s">
        <v>357</v>
      </c>
    </row>
    <row r="350" spans="16:25">
      <c r="P350" s="2" t="s">
        <v>756</v>
      </c>
      <c r="Q350" s="292" t="s">
        <v>40</v>
      </c>
      <c r="R350" s="292" t="s">
        <v>453</v>
      </c>
      <c r="S350" s="3">
        <v>237.07499999999999</v>
      </c>
      <c r="T350" s="11">
        <f t="shared" ref="T350:T413" si="7">S350/$B$2</f>
        <v>1.8271957949255481E-3</v>
      </c>
      <c r="U350" s="1" t="s">
        <v>354</v>
      </c>
      <c r="V350" s="2"/>
      <c r="W350" s="2"/>
      <c r="X350" s="6" t="s">
        <v>356</v>
      </c>
      <c r="Y350" s="1" t="s">
        <v>357</v>
      </c>
    </row>
    <row r="351" spans="16:25">
      <c r="P351" s="2" t="s">
        <v>757</v>
      </c>
      <c r="Q351" s="292" t="s">
        <v>40</v>
      </c>
      <c r="R351" s="292" t="s">
        <v>453</v>
      </c>
      <c r="S351" s="3">
        <v>252.88</v>
      </c>
      <c r="T351" s="11">
        <f t="shared" si="7"/>
        <v>1.9490088479205848E-3</v>
      </c>
      <c r="U351" s="1" t="s">
        <v>354</v>
      </c>
      <c r="V351" s="2"/>
      <c r="W351" s="2"/>
      <c r="X351" s="6" t="s">
        <v>356</v>
      </c>
      <c r="Y351" s="1" t="s">
        <v>357</v>
      </c>
    </row>
    <row r="352" spans="16:25">
      <c r="P352" s="2" t="s">
        <v>758</v>
      </c>
      <c r="Q352" s="292" t="s">
        <v>40</v>
      </c>
      <c r="R352" s="292" t="s">
        <v>453</v>
      </c>
      <c r="S352" s="3">
        <v>268.685</v>
      </c>
      <c r="T352" s="11">
        <f t="shared" si="7"/>
        <v>2.0708219009156212E-3</v>
      </c>
      <c r="U352" s="1" t="s">
        <v>354</v>
      </c>
      <c r="V352" s="2"/>
      <c r="W352" s="2"/>
      <c r="X352" s="6" t="s">
        <v>356</v>
      </c>
      <c r="Y352" s="1" t="s">
        <v>357</v>
      </c>
    </row>
    <row r="353" spans="16:25">
      <c r="P353" s="2" t="s">
        <v>759</v>
      </c>
      <c r="Q353" s="292" t="s">
        <v>40</v>
      </c>
      <c r="R353" s="292" t="s">
        <v>453</v>
      </c>
      <c r="S353" s="3">
        <v>252.88</v>
      </c>
      <c r="T353" s="11">
        <f t="shared" si="7"/>
        <v>1.9490088479205848E-3</v>
      </c>
      <c r="U353" s="1" t="s">
        <v>354</v>
      </c>
      <c r="V353" s="2"/>
      <c r="W353" s="2"/>
      <c r="X353" s="6" t="s">
        <v>356</v>
      </c>
      <c r="Y353" s="1" t="s">
        <v>357</v>
      </c>
    </row>
    <row r="354" spans="16:25">
      <c r="P354" s="2" t="s">
        <v>760</v>
      </c>
      <c r="Q354" s="292" t="s">
        <v>40</v>
      </c>
      <c r="R354" s="292" t="s">
        <v>453</v>
      </c>
      <c r="S354" s="3">
        <v>252.88</v>
      </c>
      <c r="T354" s="11">
        <f t="shared" si="7"/>
        <v>1.9490088479205848E-3</v>
      </c>
      <c r="U354" s="1" t="s">
        <v>354</v>
      </c>
      <c r="V354" s="2"/>
      <c r="W354" s="2"/>
      <c r="X354" s="6" t="s">
        <v>356</v>
      </c>
      <c r="Y354" s="1" t="s">
        <v>357</v>
      </c>
    </row>
    <row r="355" spans="16:25">
      <c r="P355" s="2" t="s">
        <v>761</v>
      </c>
      <c r="Q355" s="292" t="s">
        <v>40</v>
      </c>
      <c r="R355" s="292" t="s">
        <v>453</v>
      </c>
      <c r="S355" s="3">
        <v>252.88</v>
      </c>
      <c r="T355" s="11">
        <f t="shared" si="7"/>
        <v>1.9490088479205848E-3</v>
      </c>
      <c r="U355" s="1" t="s">
        <v>354</v>
      </c>
      <c r="V355" s="2"/>
      <c r="W355" s="2"/>
      <c r="X355" s="6" t="s">
        <v>356</v>
      </c>
      <c r="Y355" s="1" t="s">
        <v>357</v>
      </c>
    </row>
    <row r="356" spans="16:25">
      <c r="P356" s="2" t="s">
        <v>762</v>
      </c>
      <c r="Q356" s="292" t="s">
        <v>40</v>
      </c>
      <c r="R356" s="292" t="s">
        <v>453</v>
      </c>
      <c r="S356" s="3">
        <v>252.88</v>
      </c>
      <c r="T356" s="11">
        <f t="shared" si="7"/>
        <v>1.9490088479205848E-3</v>
      </c>
      <c r="U356" s="1" t="s">
        <v>354</v>
      </c>
      <c r="V356" s="2"/>
      <c r="W356" s="2"/>
      <c r="X356" s="6" t="s">
        <v>356</v>
      </c>
      <c r="Y356" s="1" t="s">
        <v>357</v>
      </c>
    </row>
    <row r="357" spans="16:25">
      <c r="P357" s="2" t="s">
        <v>763</v>
      </c>
      <c r="Q357" s="292" t="s">
        <v>40</v>
      </c>
      <c r="R357" s="292" t="s">
        <v>453</v>
      </c>
      <c r="S357" s="3">
        <v>221.27</v>
      </c>
      <c r="T357" s="11">
        <f t="shared" si="7"/>
        <v>1.7053827419305117E-3</v>
      </c>
      <c r="U357" s="1" t="s">
        <v>354</v>
      </c>
      <c r="V357" s="2"/>
      <c r="W357" s="2"/>
      <c r="X357" s="6" t="s">
        <v>356</v>
      </c>
      <c r="Y357" s="1" t="s">
        <v>357</v>
      </c>
    </row>
    <row r="358" spans="16:25">
      <c r="P358" s="2" t="s">
        <v>764</v>
      </c>
      <c r="Q358" s="292" t="s">
        <v>40</v>
      </c>
      <c r="R358" s="292" t="s">
        <v>453</v>
      </c>
      <c r="S358" s="3">
        <v>252.88</v>
      </c>
      <c r="T358" s="11">
        <f t="shared" si="7"/>
        <v>1.9490088479205848E-3</v>
      </c>
      <c r="U358" s="1" t="s">
        <v>354</v>
      </c>
      <c r="V358" s="2"/>
      <c r="W358" s="2"/>
      <c r="X358" s="6" t="s">
        <v>356</v>
      </c>
      <c r="Y358" s="1" t="s">
        <v>357</v>
      </c>
    </row>
    <row r="359" spans="16:25">
      <c r="P359" s="2" t="s">
        <v>765</v>
      </c>
      <c r="Q359" s="292" t="s">
        <v>40</v>
      </c>
      <c r="R359" s="292" t="s">
        <v>453</v>
      </c>
      <c r="S359" s="3">
        <v>252.88</v>
      </c>
      <c r="T359" s="11">
        <f t="shared" si="7"/>
        <v>1.9490088479205848E-3</v>
      </c>
      <c r="U359" s="1" t="s">
        <v>354</v>
      </c>
      <c r="V359" s="2"/>
      <c r="W359" s="2"/>
      <c r="X359" s="6" t="s">
        <v>356</v>
      </c>
      <c r="Y359" s="1" t="s">
        <v>357</v>
      </c>
    </row>
    <row r="360" spans="16:25">
      <c r="P360" s="2" t="s">
        <v>766</v>
      </c>
      <c r="Q360" s="292" t="s">
        <v>40</v>
      </c>
      <c r="R360" s="292" t="s">
        <v>453</v>
      </c>
      <c r="S360" s="3">
        <v>252.88</v>
      </c>
      <c r="T360" s="11">
        <f t="shared" si="7"/>
        <v>1.9490088479205848E-3</v>
      </c>
      <c r="U360" s="1" t="s">
        <v>354</v>
      </c>
      <c r="V360" s="2"/>
      <c r="W360" s="2"/>
      <c r="X360" s="6" t="s">
        <v>356</v>
      </c>
      <c r="Y360" s="1" t="s">
        <v>357</v>
      </c>
    </row>
    <row r="361" spans="16:25">
      <c r="P361" s="2" t="s">
        <v>767</v>
      </c>
      <c r="Q361" s="292" t="s">
        <v>40</v>
      </c>
      <c r="R361" s="292" t="s">
        <v>453</v>
      </c>
      <c r="S361" s="3">
        <v>252.88</v>
      </c>
      <c r="T361" s="11">
        <f t="shared" si="7"/>
        <v>1.9490088479205848E-3</v>
      </c>
      <c r="U361" s="1" t="s">
        <v>354</v>
      </c>
      <c r="V361" s="2"/>
      <c r="W361" s="2"/>
      <c r="X361" s="6" t="s">
        <v>356</v>
      </c>
      <c r="Y361" s="1" t="s">
        <v>357</v>
      </c>
    </row>
    <row r="362" spans="16:25">
      <c r="P362" s="2" t="s">
        <v>768</v>
      </c>
      <c r="Q362" s="292" t="s">
        <v>40</v>
      </c>
      <c r="R362" s="292" t="s">
        <v>453</v>
      </c>
      <c r="S362" s="3">
        <v>252.88</v>
      </c>
      <c r="T362" s="11">
        <f t="shared" si="7"/>
        <v>1.9490088479205848E-3</v>
      </c>
      <c r="U362" s="1" t="s">
        <v>354</v>
      </c>
      <c r="V362" s="2"/>
      <c r="W362" s="2"/>
      <c r="X362" s="6" t="s">
        <v>356</v>
      </c>
      <c r="Y362" s="1" t="s">
        <v>357</v>
      </c>
    </row>
    <row r="363" spans="16:25">
      <c r="P363" s="2" t="s">
        <v>769</v>
      </c>
      <c r="Q363" s="292" t="s">
        <v>40</v>
      </c>
      <c r="R363" s="292" t="s">
        <v>453</v>
      </c>
      <c r="S363" s="3">
        <v>252.88</v>
      </c>
      <c r="T363" s="11">
        <f t="shared" si="7"/>
        <v>1.9490088479205848E-3</v>
      </c>
      <c r="U363" s="1" t="s">
        <v>354</v>
      </c>
      <c r="V363" s="2"/>
      <c r="W363" s="2"/>
      <c r="X363" s="6" t="s">
        <v>356</v>
      </c>
      <c r="Y363" s="1" t="s">
        <v>357</v>
      </c>
    </row>
    <row r="364" spans="16:25">
      <c r="P364" s="2" t="s">
        <v>770</v>
      </c>
      <c r="Q364" s="292" t="s">
        <v>40</v>
      </c>
      <c r="R364" s="292" t="s">
        <v>453</v>
      </c>
      <c r="S364" s="3">
        <v>255.2</v>
      </c>
      <c r="T364" s="11">
        <f t="shared" si="7"/>
        <v>1.9668896630391222E-3</v>
      </c>
      <c r="U364" s="1" t="s">
        <v>354</v>
      </c>
      <c r="V364" s="2"/>
      <c r="W364" s="2"/>
      <c r="X364" s="6" t="s">
        <v>356</v>
      </c>
      <c r="Y364" s="1" t="s">
        <v>357</v>
      </c>
    </row>
    <row r="365" spans="16:25">
      <c r="P365" s="2" t="s">
        <v>771</v>
      </c>
      <c r="Q365" s="292" t="s">
        <v>40</v>
      </c>
      <c r="R365" s="292" t="s">
        <v>453</v>
      </c>
      <c r="S365" s="3">
        <v>252.88</v>
      </c>
      <c r="T365" s="11">
        <f t="shared" si="7"/>
        <v>1.9490088479205848E-3</v>
      </c>
      <c r="U365" s="1" t="s">
        <v>354</v>
      </c>
      <c r="V365" s="2"/>
      <c r="W365" s="2"/>
      <c r="X365" s="6" t="s">
        <v>356</v>
      </c>
      <c r="Y365" s="1" t="s">
        <v>357</v>
      </c>
    </row>
    <row r="366" spans="16:25">
      <c r="P366" s="2" t="s">
        <v>772</v>
      </c>
      <c r="Q366" s="292" t="s">
        <v>40</v>
      </c>
      <c r="R366" s="292" t="s">
        <v>453</v>
      </c>
      <c r="S366" s="3">
        <v>252.88</v>
      </c>
      <c r="T366" s="11">
        <f t="shared" si="7"/>
        <v>1.9490088479205848E-3</v>
      </c>
      <c r="U366" s="1" t="s">
        <v>354</v>
      </c>
      <c r="V366" s="2"/>
      <c r="W366" s="2"/>
      <c r="X366" s="6" t="s">
        <v>356</v>
      </c>
      <c r="Y366" s="1" t="s">
        <v>357</v>
      </c>
    </row>
    <row r="367" spans="16:25">
      <c r="P367" s="2" t="s">
        <v>773</v>
      </c>
      <c r="Q367" s="292" t="s">
        <v>40</v>
      </c>
      <c r="R367" s="292" t="s">
        <v>453</v>
      </c>
      <c r="S367" s="3">
        <v>252.88</v>
      </c>
      <c r="T367" s="11">
        <f t="shared" si="7"/>
        <v>1.9490088479205848E-3</v>
      </c>
      <c r="U367" s="1" t="s">
        <v>354</v>
      </c>
      <c r="V367" s="2"/>
      <c r="W367" s="2"/>
      <c r="X367" s="6" t="s">
        <v>356</v>
      </c>
      <c r="Y367" s="1" t="s">
        <v>357</v>
      </c>
    </row>
    <row r="368" spans="16:25">
      <c r="P368" s="2" t="s">
        <v>774</v>
      </c>
      <c r="Q368" s="292" t="s">
        <v>40</v>
      </c>
      <c r="R368" s="292" t="s">
        <v>453</v>
      </c>
      <c r="S368" s="3">
        <v>252.88</v>
      </c>
      <c r="T368" s="11">
        <f t="shared" si="7"/>
        <v>1.9490088479205848E-3</v>
      </c>
      <c r="U368" s="1" t="s">
        <v>354</v>
      </c>
      <c r="V368" s="2"/>
      <c r="W368" s="2"/>
      <c r="X368" s="6" t="s">
        <v>356</v>
      </c>
      <c r="Y368" s="1" t="s">
        <v>357</v>
      </c>
    </row>
    <row r="369" spans="16:25">
      <c r="P369" s="2" t="s">
        <v>775</v>
      </c>
      <c r="Q369" s="292" t="s">
        <v>40</v>
      </c>
      <c r="R369" s="292" t="s">
        <v>453</v>
      </c>
      <c r="S369" s="3">
        <v>237.07499999999999</v>
      </c>
      <c r="T369" s="11">
        <f t="shared" si="7"/>
        <v>1.8271957949255481E-3</v>
      </c>
      <c r="U369" s="1" t="s">
        <v>354</v>
      </c>
      <c r="V369" s="2"/>
      <c r="W369" s="2"/>
      <c r="X369" s="6" t="s">
        <v>356</v>
      </c>
      <c r="Y369" s="1" t="s">
        <v>357</v>
      </c>
    </row>
    <row r="370" spans="16:25">
      <c r="P370" s="2" t="s">
        <v>776</v>
      </c>
      <c r="Q370" s="292" t="s">
        <v>40</v>
      </c>
      <c r="R370" s="292" t="s">
        <v>453</v>
      </c>
      <c r="S370" s="3">
        <v>252.88</v>
      </c>
      <c r="T370" s="11">
        <f t="shared" si="7"/>
        <v>1.9490088479205848E-3</v>
      </c>
      <c r="U370" s="1" t="s">
        <v>354</v>
      </c>
      <c r="V370" s="2"/>
      <c r="W370" s="2"/>
      <c r="X370" s="6" t="s">
        <v>356</v>
      </c>
      <c r="Y370" s="1" t="s">
        <v>357</v>
      </c>
    </row>
    <row r="371" spans="16:25">
      <c r="P371" s="2" t="s">
        <v>777</v>
      </c>
      <c r="Q371" s="292" t="s">
        <v>40</v>
      </c>
      <c r="R371" s="292" t="s">
        <v>453</v>
      </c>
      <c r="S371" s="3">
        <v>189.66</v>
      </c>
      <c r="T371" s="11">
        <f t="shared" si="7"/>
        <v>1.4617566359404386E-3</v>
      </c>
      <c r="U371" s="1" t="s">
        <v>354</v>
      </c>
      <c r="V371" s="2"/>
      <c r="W371" s="2"/>
      <c r="X371" s="6" t="s">
        <v>356</v>
      </c>
      <c r="Y371" s="1" t="s">
        <v>357</v>
      </c>
    </row>
    <row r="372" spans="16:25">
      <c r="P372" s="2" t="s">
        <v>778</v>
      </c>
      <c r="Q372" s="292" t="s">
        <v>40</v>
      </c>
      <c r="R372" s="292" t="s">
        <v>453</v>
      </c>
      <c r="S372" s="3">
        <v>221.27</v>
      </c>
      <c r="T372" s="11">
        <f t="shared" si="7"/>
        <v>1.7053827419305117E-3</v>
      </c>
      <c r="U372" s="1" t="s">
        <v>354</v>
      </c>
      <c r="V372" s="2"/>
      <c r="W372" s="2"/>
      <c r="X372" s="6" t="s">
        <v>356</v>
      </c>
      <c r="Y372" s="1" t="s">
        <v>357</v>
      </c>
    </row>
    <row r="373" spans="16:25">
      <c r="P373" s="2" t="s">
        <v>779</v>
      </c>
      <c r="Q373" s="292" t="s">
        <v>40</v>
      </c>
      <c r="R373" s="292" t="s">
        <v>453</v>
      </c>
      <c r="S373" s="3">
        <v>221.27</v>
      </c>
      <c r="T373" s="11">
        <f t="shared" si="7"/>
        <v>1.7053827419305117E-3</v>
      </c>
      <c r="U373" s="1" t="s">
        <v>354</v>
      </c>
      <c r="V373" s="2"/>
      <c r="W373" s="2"/>
      <c r="X373" s="6" t="s">
        <v>356</v>
      </c>
      <c r="Y373" s="1" t="s">
        <v>357</v>
      </c>
    </row>
    <row r="374" spans="16:25">
      <c r="P374" s="2" t="s">
        <v>780</v>
      </c>
      <c r="Q374" s="292" t="s">
        <v>40</v>
      </c>
      <c r="R374" s="292" t="s">
        <v>453</v>
      </c>
      <c r="S374" s="3">
        <v>221.27</v>
      </c>
      <c r="T374" s="11">
        <f t="shared" si="7"/>
        <v>1.7053827419305117E-3</v>
      </c>
      <c r="U374" s="1" t="s">
        <v>354</v>
      </c>
      <c r="V374" s="2"/>
      <c r="W374" s="2"/>
      <c r="X374" s="6" t="s">
        <v>356</v>
      </c>
      <c r="Y374" s="1" t="s">
        <v>357</v>
      </c>
    </row>
    <row r="375" spans="16:25">
      <c r="P375" s="2" t="s">
        <v>781</v>
      </c>
      <c r="Q375" s="292" t="s">
        <v>40</v>
      </c>
      <c r="R375" s="292" t="s">
        <v>453</v>
      </c>
      <c r="S375" s="3">
        <v>252.88</v>
      </c>
      <c r="T375" s="11">
        <f t="shared" si="7"/>
        <v>1.9490088479205848E-3</v>
      </c>
      <c r="U375" s="1" t="s">
        <v>354</v>
      </c>
      <c r="V375" s="2"/>
      <c r="W375" s="2"/>
      <c r="X375" s="6" t="s">
        <v>356</v>
      </c>
      <c r="Y375" s="1" t="s">
        <v>357</v>
      </c>
    </row>
    <row r="376" spans="16:25">
      <c r="P376" s="2" t="s">
        <v>782</v>
      </c>
      <c r="Q376" s="292" t="s">
        <v>40</v>
      </c>
      <c r="R376" s="292" t="s">
        <v>453</v>
      </c>
      <c r="S376" s="3">
        <v>221.27</v>
      </c>
      <c r="T376" s="11">
        <f t="shared" si="7"/>
        <v>1.7053827419305117E-3</v>
      </c>
      <c r="U376" s="1" t="s">
        <v>354</v>
      </c>
      <c r="V376" s="2"/>
      <c r="W376" s="2"/>
      <c r="X376" s="6" t="s">
        <v>356</v>
      </c>
      <c r="Y376" s="1" t="s">
        <v>357</v>
      </c>
    </row>
    <row r="377" spans="16:25">
      <c r="P377" s="2" t="s">
        <v>783</v>
      </c>
      <c r="Q377" s="292" t="s">
        <v>40</v>
      </c>
      <c r="R377" s="292" t="s">
        <v>453</v>
      </c>
      <c r="S377" s="3">
        <v>237.07499999999999</v>
      </c>
      <c r="T377" s="11">
        <f t="shared" si="7"/>
        <v>1.8271957949255481E-3</v>
      </c>
      <c r="U377" s="1" t="s">
        <v>354</v>
      </c>
      <c r="V377" s="2"/>
      <c r="W377" s="2"/>
      <c r="X377" s="6" t="s">
        <v>356</v>
      </c>
      <c r="Y377" s="1" t="s">
        <v>357</v>
      </c>
    </row>
    <row r="378" spans="16:25">
      <c r="P378" s="2" t="s">
        <v>784</v>
      </c>
      <c r="Q378" s="292" t="s">
        <v>40</v>
      </c>
      <c r="R378" s="292" t="s">
        <v>453</v>
      </c>
      <c r="S378" s="3">
        <v>284.49</v>
      </c>
      <c r="T378" s="11">
        <f t="shared" si="7"/>
        <v>2.1926349539106581E-3</v>
      </c>
      <c r="U378" s="1" t="s">
        <v>354</v>
      </c>
      <c r="V378" s="2"/>
      <c r="W378" s="2"/>
      <c r="X378" s="6" t="s">
        <v>356</v>
      </c>
      <c r="Y378" s="1" t="s">
        <v>357</v>
      </c>
    </row>
    <row r="379" spans="16:25">
      <c r="P379" s="2" t="s">
        <v>785</v>
      </c>
      <c r="Q379" s="292" t="s">
        <v>40</v>
      </c>
      <c r="R379" s="292" t="s">
        <v>453</v>
      </c>
      <c r="S379" s="3">
        <v>284.49</v>
      </c>
      <c r="T379" s="11">
        <f t="shared" si="7"/>
        <v>2.1926349539106581E-3</v>
      </c>
      <c r="U379" s="1" t="s">
        <v>354</v>
      </c>
      <c r="V379" s="2"/>
      <c r="W379" s="2"/>
      <c r="X379" s="6" t="s">
        <v>356</v>
      </c>
      <c r="Y379" s="1" t="s">
        <v>357</v>
      </c>
    </row>
    <row r="380" spans="16:25">
      <c r="P380" s="2" t="s">
        <v>786</v>
      </c>
      <c r="Q380" s="292" t="s">
        <v>40</v>
      </c>
      <c r="R380" s="292" t="s">
        <v>453</v>
      </c>
      <c r="S380" s="3">
        <v>284.49</v>
      </c>
      <c r="T380" s="11">
        <f t="shared" si="7"/>
        <v>2.1926349539106581E-3</v>
      </c>
      <c r="U380" s="1" t="s">
        <v>354</v>
      </c>
      <c r="V380" s="2"/>
      <c r="W380" s="2"/>
      <c r="X380" s="6" t="s">
        <v>356</v>
      </c>
      <c r="Y380" s="1" t="s">
        <v>357</v>
      </c>
    </row>
    <row r="381" spans="16:25">
      <c r="P381" s="2" t="s">
        <v>787</v>
      </c>
      <c r="Q381" s="292" t="s">
        <v>40</v>
      </c>
      <c r="R381" s="292" t="s">
        <v>453</v>
      </c>
      <c r="S381" s="3">
        <v>252.88</v>
      </c>
      <c r="T381" s="11">
        <f t="shared" si="7"/>
        <v>1.9490088479205848E-3</v>
      </c>
      <c r="U381" s="1" t="s">
        <v>354</v>
      </c>
      <c r="V381" s="2"/>
      <c r="W381" s="2"/>
      <c r="X381" s="6" t="s">
        <v>356</v>
      </c>
      <c r="Y381" s="1" t="s">
        <v>357</v>
      </c>
    </row>
    <row r="382" spans="16:25">
      <c r="P382" s="2" t="s">
        <v>788</v>
      </c>
      <c r="Q382" s="292" t="s">
        <v>40</v>
      </c>
      <c r="R382" s="292" t="s">
        <v>453</v>
      </c>
      <c r="S382" s="3">
        <v>252.88</v>
      </c>
      <c r="T382" s="11">
        <f t="shared" si="7"/>
        <v>1.9490088479205848E-3</v>
      </c>
      <c r="U382" s="1" t="s">
        <v>354</v>
      </c>
      <c r="V382" s="2"/>
      <c r="W382" s="2"/>
      <c r="X382" s="6" t="s">
        <v>356</v>
      </c>
      <c r="Y382" s="1" t="s">
        <v>357</v>
      </c>
    </row>
    <row r="383" spans="16:25">
      <c r="P383" s="2" t="s">
        <v>789</v>
      </c>
      <c r="Q383" s="292" t="s">
        <v>40</v>
      </c>
      <c r="R383" s="292" t="s">
        <v>453</v>
      </c>
      <c r="S383" s="3">
        <v>252.88</v>
      </c>
      <c r="T383" s="11">
        <f t="shared" si="7"/>
        <v>1.9490088479205848E-3</v>
      </c>
      <c r="U383" s="1" t="s">
        <v>354</v>
      </c>
      <c r="V383" s="2"/>
      <c r="W383" s="2"/>
      <c r="X383" s="6" t="s">
        <v>356</v>
      </c>
      <c r="Y383" s="1" t="s">
        <v>357</v>
      </c>
    </row>
    <row r="384" spans="16:25">
      <c r="P384" s="2" t="s">
        <v>790</v>
      </c>
      <c r="Q384" s="292" t="s">
        <v>40</v>
      </c>
      <c r="R384" s="292" t="s">
        <v>453</v>
      </c>
      <c r="S384" s="3">
        <v>252.88</v>
      </c>
      <c r="T384" s="11">
        <f t="shared" si="7"/>
        <v>1.9490088479205848E-3</v>
      </c>
      <c r="U384" s="1" t="s">
        <v>354</v>
      </c>
      <c r="V384" s="2"/>
      <c r="W384" s="2"/>
      <c r="X384" s="6" t="s">
        <v>356</v>
      </c>
      <c r="Y384" s="1" t="s">
        <v>357</v>
      </c>
    </row>
    <row r="385" spans="16:25">
      <c r="P385" s="2" t="s">
        <v>791</v>
      </c>
      <c r="Q385" s="292" t="s">
        <v>40</v>
      </c>
      <c r="R385" s="292" t="s">
        <v>453</v>
      </c>
      <c r="S385" s="3">
        <v>252.88</v>
      </c>
      <c r="T385" s="11">
        <f t="shared" si="7"/>
        <v>1.9490088479205848E-3</v>
      </c>
      <c r="U385" s="1" t="s">
        <v>354</v>
      </c>
      <c r="V385" s="2"/>
      <c r="W385" s="2"/>
      <c r="X385" s="6" t="s">
        <v>356</v>
      </c>
      <c r="Y385" s="1" t="s">
        <v>357</v>
      </c>
    </row>
    <row r="386" spans="16:25">
      <c r="P386" s="2" t="s">
        <v>792</v>
      </c>
      <c r="Q386" s="292" t="s">
        <v>40</v>
      </c>
      <c r="R386" s="292" t="s">
        <v>453</v>
      </c>
      <c r="S386" s="3">
        <v>268.685</v>
      </c>
      <c r="T386" s="11">
        <f t="shared" si="7"/>
        <v>2.0708219009156212E-3</v>
      </c>
      <c r="U386" s="1" t="s">
        <v>354</v>
      </c>
      <c r="V386" s="2"/>
      <c r="W386" s="2"/>
      <c r="X386" s="6" t="s">
        <v>356</v>
      </c>
      <c r="Y386" s="1" t="s">
        <v>357</v>
      </c>
    </row>
    <row r="387" spans="16:25">
      <c r="P387" s="2" t="s">
        <v>793</v>
      </c>
      <c r="Q387" s="292" t="s">
        <v>40</v>
      </c>
      <c r="R387" s="292" t="s">
        <v>453</v>
      </c>
      <c r="S387" s="3">
        <v>284.49</v>
      </c>
      <c r="T387" s="11">
        <f t="shared" si="7"/>
        <v>2.1926349539106581E-3</v>
      </c>
      <c r="U387" s="1" t="s">
        <v>354</v>
      </c>
      <c r="V387" s="2"/>
      <c r="W387" s="2"/>
      <c r="X387" s="6" t="s">
        <v>356</v>
      </c>
      <c r="Y387" s="1" t="s">
        <v>357</v>
      </c>
    </row>
    <row r="388" spans="16:25">
      <c r="P388" s="2" t="s">
        <v>794</v>
      </c>
      <c r="Q388" s="292" t="s">
        <v>40</v>
      </c>
      <c r="R388" s="292" t="s">
        <v>453</v>
      </c>
      <c r="S388" s="3">
        <v>252.88</v>
      </c>
      <c r="T388" s="11">
        <f t="shared" si="7"/>
        <v>1.9490088479205848E-3</v>
      </c>
      <c r="U388" s="1" t="s">
        <v>354</v>
      </c>
      <c r="V388" s="2"/>
      <c r="W388" s="2"/>
      <c r="X388" s="6" t="s">
        <v>356</v>
      </c>
      <c r="Y388" s="1" t="s">
        <v>357</v>
      </c>
    </row>
    <row r="389" spans="16:25">
      <c r="P389" s="2" t="s">
        <v>795</v>
      </c>
      <c r="Q389" s="292" t="s">
        <v>40</v>
      </c>
      <c r="R389" s="292" t="s">
        <v>453</v>
      </c>
      <c r="S389" s="3">
        <v>221.27</v>
      </c>
      <c r="T389" s="11">
        <f t="shared" si="7"/>
        <v>1.7053827419305117E-3</v>
      </c>
      <c r="U389" s="1" t="s">
        <v>354</v>
      </c>
      <c r="V389" s="2"/>
      <c r="W389" s="2"/>
      <c r="X389" s="6" t="s">
        <v>356</v>
      </c>
      <c r="Y389" s="1" t="s">
        <v>357</v>
      </c>
    </row>
    <row r="390" spans="16:25">
      <c r="P390" s="2" t="s">
        <v>796</v>
      </c>
      <c r="Q390" s="292" t="s">
        <v>40</v>
      </c>
      <c r="R390" s="292" t="s">
        <v>453</v>
      </c>
      <c r="S390" s="3">
        <v>284.49</v>
      </c>
      <c r="T390" s="11">
        <f t="shared" si="7"/>
        <v>2.1926349539106581E-3</v>
      </c>
      <c r="U390" s="1" t="s">
        <v>354</v>
      </c>
      <c r="V390" s="2"/>
      <c r="W390" s="2"/>
      <c r="X390" s="6" t="s">
        <v>356</v>
      </c>
      <c r="Y390" s="1" t="s">
        <v>357</v>
      </c>
    </row>
    <row r="391" spans="16:25">
      <c r="P391" s="2" t="s">
        <v>797</v>
      </c>
      <c r="Q391" s="292" t="s">
        <v>40</v>
      </c>
      <c r="R391" s="292" t="s">
        <v>453</v>
      </c>
      <c r="S391" s="3">
        <v>221.27</v>
      </c>
      <c r="T391" s="11">
        <f t="shared" si="7"/>
        <v>1.7053827419305117E-3</v>
      </c>
      <c r="U391" s="1" t="s">
        <v>354</v>
      </c>
      <c r="V391" s="2"/>
      <c r="W391" s="2"/>
      <c r="X391" s="6" t="s">
        <v>356</v>
      </c>
      <c r="Y391" s="1" t="s">
        <v>357</v>
      </c>
    </row>
    <row r="392" spans="16:25">
      <c r="P392" s="2" t="s">
        <v>798</v>
      </c>
      <c r="Q392" s="292" t="s">
        <v>40</v>
      </c>
      <c r="R392" s="292" t="s">
        <v>453</v>
      </c>
      <c r="S392" s="3">
        <v>284.49</v>
      </c>
      <c r="T392" s="11">
        <f t="shared" si="7"/>
        <v>2.1926349539106581E-3</v>
      </c>
      <c r="U392" s="1" t="s">
        <v>354</v>
      </c>
      <c r="V392" s="2"/>
      <c r="W392" s="2"/>
      <c r="X392" s="6" t="s">
        <v>356</v>
      </c>
      <c r="Y392" s="1" t="s">
        <v>357</v>
      </c>
    </row>
    <row r="393" spans="16:25">
      <c r="P393" s="2" t="s">
        <v>799</v>
      </c>
      <c r="Q393" s="292" t="s">
        <v>40</v>
      </c>
      <c r="R393" s="292" t="s">
        <v>453</v>
      </c>
      <c r="S393" s="3">
        <v>252.88</v>
      </c>
      <c r="T393" s="11">
        <f t="shared" si="7"/>
        <v>1.9490088479205848E-3</v>
      </c>
      <c r="U393" s="1" t="s">
        <v>354</v>
      </c>
      <c r="V393" s="2"/>
      <c r="W393" s="2"/>
      <c r="X393" s="6" t="s">
        <v>356</v>
      </c>
      <c r="Y393" s="1" t="s">
        <v>357</v>
      </c>
    </row>
    <row r="394" spans="16:25">
      <c r="P394" s="2" t="s">
        <v>800</v>
      </c>
      <c r="Q394" s="292" t="s">
        <v>40</v>
      </c>
      <c r="R394" s="292" t="s">
        <v>453</v>
      </c>
      <c r="S394" s="3">
        <v>0</v>
      </c>
      <c r="T394" s="11">
        <f t="shared" si="7"/>
        <v>0</v>
      </c>
      <c r="U394" s="1" t="s">
        <v>354</v>
      </c>
      <c r="V394" s="2"/>
      <c r="W394" s="2"/>
      <c r="X394" s="6" t="s">
        <v>356</v>
      </c>
      <c r="Y394" s="1" t="s">
        <v>357</v>
      </c>
    </row>
    <row r="395" spans="16:25">
      <c r="P395" s="2" t="s">
        <v>801</v>
      </c>
      <c r="Q395" s="292" t="s">
        <v>40</v>
      </c>
      <c r="R395" s="292" t="s">
        <v>453</v>
      </c>
      <c r="S395" s="3">
        <v>94.83</v>
      </c>
      <c r="T395" s="11">
        <f t="shared" si="7"/>
        <v>7.3087831797021929E-4</v>
      </c>
      <c r="U395" s="1" t="s">
        <v>354</v>
      </c>
      <c r="V395" s="2"/>
      <c r="W395" s="2"/>
      <c r="X395" s="6" t="s">
        <v>356</v>
      </c>
      <c r="Y395" s="1" t="s">
        <v>357</v>
      </c>
    </row>
    <row r="396" spans="16:25">
      <c r="P396" s="2" t="s">
        <v>802</v>
      </c>
      <c r="Q396" s="292" t="s">
        <v>40</v>
      </c>
      <c r="R396" s="292" t="s">
        <v>453</v>
      </c>
      <c r="S396" s="3">
        <v>173.85499999999999</v>
      </c>
      <c r="T396" s="11">
        <f t="shared" si="7"/>
        <v>1.3399435829454019E-3</v>
      </c>
      <c r="U396" s="1" t="s">
        <v>354</v>
      </c>
      <c r="V396" s="2"/>
      <c r="W396" s="2"/>
      <c r="X396" s="6" t="s">
        <v>356</v>
      </c>
      <c r="Y396" s="1" t="s">
        <v>357</v>
      </c>
    </row>
    <row r="397" spans="16:25">
      <c r="P397" s="2" t="s">
        <v>803</v>
      </c>
      <c r="Q397" s="292" t="s">
        <v>40</v>
      </c>
      <c r="R397" s="292" t="s">
        <v>453</v>
      </c>
      <c r="S397" s="3">
        <v>189.66</v>
      </c>
      <c r="T397" s="11">
        <f t="shared" si="7"/>
        <v>1.4617566359404386E-3</v>
      </c>
      <c r="U397" s="1" t="s">
        <v>354</v>
      </c>
      <c r="V397" s="2"/>
      <c r="W397" s="2"/>
      <c r="X397" s="6" t="s">
        <v>356</v>
      </c>
      <c r="Y397" s="1" t="s">
        <v>357</v>
      </c>
    </row>
    <row r="398" spans="16:25">
      <c r="P398" s="2" t="s">
        <v>804</v>
      </c>
      <c r="Q398" s="292" t="s">
        <v>40</v>
      </c>
      <c r="R398" s="292" t="s">
        <v>453</v>
      </c>
      <c r="S398" s="3">
        <v>221.27</v>
      </c>
      <c r="T398" s="11">
        <f t="shared" si="7"/>
        <v>1.7053827419305117E-3</v>
      </c>
      <c r="U398" s="1" t="s">
        <v>354</v>
      </c>
      <c r="V398" s="2"/>
      <c r="W398" s="2"/>
      <c r="X398" s="6" t="s">
        <v>356</v>
      </c>
      <c r="Y398" s="1" t="s">
        <v>357</v>
      </c>
    </row>
    <row r="399" spans="16:25">
      <c r="P399" s="2" t="s">
        <v>805</v>
      </c>
      <c r="Q399" s="292" t="s">
        <v>40</v>
      </c>
      <c r="R399" s="292" t="s">
        <v>453</v>
      </c>
      <c r="S399" s="3">
        <v>221.27</v>
      </c>
      <c r="T399" s="11">
        <f t="shared" si="7"/>
        <v>1.7053827419305117E-3</v>
      </c>
      <c r="U399" s="1" t="s">
        <v>354</v>
      </c>
      <c r="V399" s="2"/>
      <c r="W399" s="2"/>
      <c r="X399" s="6" t="s">
        <v>356</v>
      </c>
      <c r="Y399" s="1" t="s">
        <v>357</v>
      </c>
    </row>
    <row r="400" spans="16:25">
      <c r="P400" s="2" t="s">
        <v>806</v>
      </c>
      <c r="Q400" s="292" t="s">
        <v>40</v>
      </c>
      <c r="R400" s="292" t="s">
        <v>453</v>
      </c>
      <c r="S400" s="3">
        <v>221.27</v>
      </c>
      <c r="T400" s="11">
        <f t="shared" si="7"/>
        <v>1.7053827419305117E-3</v>
      </c>
      <c r="U400" s="1" t="s">
        <v>354</v>
      </c>
      <c r="V400" s="2"/>
      <c r="W400" s="2"/>
      <c r="X400" s="6" t="s">
        <v>356</v>
      </c>
      <c r="Y400" s="1" t="s">
        <v>357</v>
      </c>
    </row>
    <row r="401" spans="16:25">
      <c r="P401" s="2" t="s">
        <v>807</v>
      </c>
      <c r="Q401" s="292" t="s">
        <v>40</v>
      </c>
      <c r="R401" s="292" t="s">
        <v>453</v>
      </c>
      <c r="S401" s="3">
        <v>221.27</v>
      </c>
      <c r="T401" s="11">
        <f t="shared" si="7"/>
        <v>1.7053827419305117E-3</v>
      </c>
      <c r="U401" s="1" t="s">
        <v>354</v>
      </c>
      <c r="V401" s="2"/>
      <c r="W401" s="2"/>
      <c r="X401" s="6" t="s">
        <v>356</v>
      </c>
      <c r="Y401" s="1" t="s">
        <v>357</v>
      </c>
    </row>
    <row r="402" spans="16:25">
      <c r="P402" s="2" t="s">
        <v>808</v>
      </c>
      <c r="Q402" s="292" t="s">
        <v>40</v>
      </c>
      <c r="R402" s="292" t="s">
        <v>453</v>
      </c>
      <c r="S402" s="3">
        <v>221.27</v>
      </c>
      <c r="T402" s="11">
        <f t="shared" si="7"/>
        <v>1.7053827419305117E-3</v>
      </c>
      <c r="U402" s="1" t="s">
        <v>354</v>
      </c>
      <c r="V402" s="2"/>
      <c r="W402" s="2"/>
      <c r="X402" s="6" t="s">
        <v>356</v>
      </c>
      <c r="Y402" s="1" t="s">
        <v>357</v>
      </c>
    </row>
    <row r="403" spans="16:25">
      <c r="P403" s="2" t="s">
        <v>809</v>
      </c>
      <c r="Q403" s="292" t="s">
        <v>40</v>
      </c>
      <c r="R403" s="292" t="s">
        <v>453</v>
      </c>
      <c r="S403" s="3">
        <v>252.88</v>
      </c>
      <c r="T403" s="11">
        <f t="shared" si="7"/>
        <v>1.9490088479205848E-3</v>
      </c>
      <c r="U403" s="1" t="s">
        <v>354</v>
      </c>
      <c r="V403" s="2"/>
      <c r="W403" s="2"/>
      <c r="X403" s="6" t="s">
        <v>356</v>
      </c>
      <c r="Y403" s="1" t="s">
        <v>357</v>
      </c>
    </row>
    <row r="404" spans="16:25">
      <c r="P404" s="2" t="s">
        <v>810</v>
      </c>
      <c r="Q404" s="292" t="s">
        <v>40</v>
      </c>
      <c r="R404" s="292" t="s">
        <v>453</v>
      </c>
      <c r="S404" s="3">
        <v>252.88</v>
      </c>
      <c r="T404" s="11">
        <f t="shared" si="7"/>
        <v>1.9490088479205848E-3</v>
      </c>
      <c r="U404" s="1" t="s">
        <v>354</v>
      </c>
      <c r="V404" s="2"/>
      <c r="W404" s="2"/>
      <c r="X404" s="6" t="s">
        <v>356</v>
      </c>
      <c r="Y404" s="1" t="s">
        <v>357</v>
      </c>
    </row>
    <row r="405" spans="16:25">
      <c r="P405" s="2" t="s">
        <v>811</v>
      </c>
      <c r="Q405" s="292" t="s">
        <v>40</v>
      </c>
      <c r="R405" s="292" t="s">
        <v>453</v>
      </c>
      <c r="S405" s="3">
        <v>252.88</v>
      </c>
      <c r="T405" s="11">
        <f t="shared" si="7"/>
        <v>1.9490088479205848E-3</v>
      </c>
      <c r="U405" s="1" t="s">
        <v>354</v>
      </c>
      <c r="V405" s="2"/>
      <c r="W405" s="2"/>
      <c r="X405" s="6" t="s">
        <v>356</v>
      </c>
      <c r="Y405" s="1" t="s">
        <v>357</v>
      </c>
    </row>
    <row r="406" spans="16:25">
      <c r="P406" s="2" t="s">
        <v>812</v>
      </c>
      <c r="Q406" s="292" t="s">
        <v>40</v>
      </c>
      <c r="R406" s="292" t="s">
        <v>453</v>
      </c>
      <c r="S406" s="3">
        <v>252.88</v>
      </c>
      <c r="T406" s="11">
        <f t="shared" si="7"/>
        <v>1.9490088479205848E-3</v>
      </c>
      <c r="U406" s="1" t="s">
        <v>354</v>
      </c>
      <c r="V406" s="2"/>
      <c r="W406" s="2"/>
      <c r="X406" s="6" t="s">
        <v>356</v>
      </c>
      <c r="Y406" s="1" t="s">
        <v>357</v>
      </c>
    </row>
    <row r="407" spans="16:25">
      <c r="P407" s="2" t="s">
        <v>813</v>
      </c>
      <c r="Q407" s="10" t="s">
        <v>36</v>
      </c>
      <c r="R407" s="2" t="s">
        <v>353</v>
      </c>
      <c r="S407" s="3">
        <v>12627.904999999997</v>
      </c>
      <c r="T407" s="11">
        <f t="shared" si="7"/>
        <v>9.7326394241144365E-2</v>
      </c>
      <c r="U407" s="1" t="s">
        <v>354</v>
      </c>
      <c r="V407" s="6"/>
      <c r="W407" s="1"/>
      <c r="X407" s="6" t="s">
        <v>356</v>
      </c>
      <c r="Y407" s="1" t="s">
        <v>357</v>
      </c>
    </row>
    <row r="408" spans="16:25">
      <c r="P408" s="2" t="s">
        <v>814</v>
      </c>
      <c r="Q408" s="10" t="s">
        <v>36</v>
      </c>
      <c r="R408" s="2" t="s">
        <v>353</v>
      </c>
      <c r="S408" s="3">
        <v>12749.414999999997</v>
      </c>
      <c r="T408" s="11">
        <f t="shared" si="7"/>
        <v>9.8262901932977764E-2</v>
      </c>
      <c r="U408" s="1" t="s">
        <v>354</v>
      </c>
      <c r="V408" s="6"/>
      <c r="W408" s="1"/>
      <c r="X408" s="6" t="s">
        <v>356</v>
      </c>
      <c r="Y408" s="1" t="s">
        <v>357</v>
      </c>
    </row>
    <row r="409" spans="16:25">
      <c r="P409" s="2" t="s">
        <v>815</v>
      </c>
      <c r="Q409" s="10" t="s">
        <v>36</v>
      </c>
      <c r="R409" s="2" t="s">
        <v>353</v>
      </c>
      <c r="S409" s="3">
        <v>9008.5600000000031</v>
      </c>
      <c r="T409" s="11">
        <f t="shared" si="7"/>
        <v>6.9431205105281044E-2</v>
      </c>
      <c r="U409" s="1" t="s">
        <v>354</v>
      </c>
      <c r="V409" s="6"/>
      <c r="W409" s="1"/>
      <c r="X409" s="6" t="s">
        <v>356</v>
      </c>
      <c r="Y409" s="1" t="s">
        <v>357</v>
      </c>
    </row>
    <row r="410" spans="16:25">
      <c r="P410" s="2" t="s">
        <v>816</v>
      </c>
      <c r="Q410" s="10" t="s">
        <v>36</v>
      </c>
      <c r="R410" s="2" t="s">
        <v>353</v>
      </c>
      <c r="S410" s="3">
        <v>17086.509999999998</v>
      </c>
      <c r="T410" s="11">
        <f t="shared" si="7"/>
        <v>0.13168996824613868</v>
      </c>
      <c r="U410" s="1" t="s">
        <v>354</v>
      </c>
      <c r="V410" s="6"/>
      <c r="W410" s="1"/>
      <c r="X410" s="6" t="s">
        <v>356</v>
      </c>
      <c r="Y410" s="1" t="s">
        <v>357</v>
      </c>
    </row>
    <row r="411" spans="16:25">
      <c r="P411" s="2" t="s">
        <v>817</v>
      </c>
      <c r="Q411" s="292" t="s">
        <v>38</v>
      </c>
      <c r="R411" s="292" t="s">
        <v>448</v>
      </c>
      <c r="S411" s="3">
        <v>7352.9500000000016</v>
      </c>
      <c r="T411" s="11">
        <f t="shared" si="7"/>
        <v>5.6671008416314721E-2</v>
      </c>
      <c r="U411" s="1" t="s">
        <v>354</v>
      </c>
      <c r="V411" s="6"/>
      <c r="W411" s="1"/>
      <c r="X411" s="6" t="s">
        <v>356</v>
      </c>
      <c r="Y411" s="1" t="s">
        <v>357</v>
      </c>
    </row>
    <row r="412" spans="16:25">
      <c r="P412" s="2" t="s">
        <v>818</v>
      </c>
      <c r="Q412" s="292" t="s">
        <v>37</v>
      </c>
      <c r="R412" s="292" t="s">
        <v>451</v>
      </c>
      <c r="S412" s="3">
        <v>7464.6000000000013</v>
      </c>
      <c r="T412" s="11">
        <f t="shared" si="7"/>
        <v>5.7531522643894335E-2</v>
      </c>
      <c r="U412" s="1" t="s">
        <v>354</v>
      </c>
      <c r="V412" s="6"/>
      <c r="W412" s="1"/>
      <c r="X412" s="6" t="s">
        <v>356</v>
      </c>
      <c r="Y412" s="1" t="s">
        <v>357</v>
      </c>
    </row>
    <row r="413" spans="16:25">
      <c r="P413" s="2" t="s">
        <v>819</v>
      </c>
      <c r="Q413" s="292" t="s">
        <v>39</v>
      </c>
      <c r="R413" s="292" t="s">
        <v>452</v>
      </c>
      <c r="S413" s="3">
        <v>2971.3400000000006</v>
      </c>
      <c r="T413" s="11">
        <f t="shared" si="7"/>
        <v>2.2900853963066875E-2</v>
      </c>
      <c r="U413" s="1" t="s">
        <v>354</v>
      </c>
      <c r="V413" s="6"/>
      <c r="W413" s="1"/>
      <c r="X413" s="6" t="s">
        <v>356</v>
      </c>
      <c r="Y413" s="1" t="s">
        <v>357</v>
      </c>
    </row>
    <row r="414" spans="16:25">
      <c r="P414" s="2" t="s">
        <v>820</v>
      </c>
      <c r="Q414" s="292" t="s">
        <v>40</v>
      </c>
      <c r="R414" s="292" t="s">
        <v>453</v>
      </c>
      <c r="S414" s="3">
        <v>5992.4150000000009</v>
      </c>
      <c r="T414" s="11">
        <f t="shared" ref="T414:T477" si="8">S414/$B$2</f>
        <v>4.6185027900237395E-2</v>
      </c>
      <c r="U414" s="1" t="s">
        <v>354</v>
      </c>
      <c r="V414" s="6"/>
      <c r="W414" s="1"/>
      <c r="X414" s="6" t="s">
        <v>356</v>
      </c>
      <c r="Y414" s="1" t="s">
        <v>357</v>
      </c>
    </row>
    <row r="415" spans="16:25">
      <c r="P415" s="2" t="s">
        <v>821</v>
      </c>
      <c r="Q415" s="292" t="s">
        <v>40</v>
      </c>
      <c r="R415" s="292" t="s">
        <v>453</v>
      </c>
      <c r="S415" s="3">
        <v>8329.2350000000042</v>
      </c>
      <c r="T415" s="11">
        <f t="shared" si="8"/>
        <v>6.4195478928384286E-2</v>
      </c>
      <c r="U415" s="1" t="s">
        <v>354</v>
      </c>
      <c r="V415" s="6"/>
      <c r="W415" s="1"/>
      <c r="X415" s="6" t="s">
        <v>356</v>
      </c>
      <c r="Y415" s="1" t="s">
        <v>357</v>
      </c>
    </row>
    <row r="416" spans="16:25">
      <c r="P416" s="2" t="s">
        <v>822</v>
      </c>
      <c r="Q416" s="10" t="s">
        <v>36</v>
      </c>
      <c r="R416" s="2" t="s">
        <v>353</v>
      </c>
      <c r="S416" s="3">
        <v>12627.904999999997</v>
      </c>
      <c r="T416" s="11">
        <f t="shared" si="8"/>
        <v>9.7326394241144365E-2</v>
      </c>
      <c r="U416" s="1" t="s">
        <v>354</v>
      </c>
      <c r="V416" s="6"/>
      <c r="W416" s="1"/>
      <c r="X416" s="6" t="s">
        <v>356</v>
      </c>
      <c r="Y416" s="1" t="s">
        <v>357</v>
      </c>
    </row>
    <row r="417" spans="16:25">
      <c r="P417" s="2" t="s">
        <v>823</v>
      </c>
      <c r="Q417" s="292" t="s">
        <v>36</v>
      </c>
      <c r="R417" s="2" t="s">
        <v>353</v>
      </c>
      <c r="S417" s="3">
        <v>12749.414999999997</v>
      </c>
      <c r="T417" s="11">
        <f t="shared" si="8"/>
        <v>9.8262901932977764E-2</v>
      </c>
      <c r="U417" s="1" t="s">
        <v>354</v>
      </c>
      <c r="V417" s="6"/>
      <c r="W417" s="1"/>
      <c r="X417" s="6" t="s">
        <v>356</v>
      </c>
      <c r="Y417" s="1" t="s">
        <v>357</v>
      </c>
    </row>
    <row r="418" spans="16:25">
      <c r="P418" s="2" t="s">
        <v>824</v>
      </c>
      <c r="Q418" s="10" t="s">
        <v>36</v>
      </c>
      <c r="R418" s="2" t="s">
        <v>353</v>
      </c>
      <c r="S418" s="3">
        <v>9008.5600000000031</v>
      </c>
      <c r="T418" s="11">
        <f t="shared" si="8"/>
        <v>6.9431205105281044E-2</v>
      </c>
      <c r="U418" s="1" t="s">
        <v>354</v>
      </c>
      <c r="V418" s="6"/>
      <c r="W418" s="1"/>
      <c r="X418" s="6" t="s">
        <v>356</v>
      </c>
      <c r="Y418" s="1" t="s">
        <v>357</v>
      </c>
    </row>
    <row r="419" spans="16:25">
      <c r="P419" s="2" t="s">
        <v>825</v>
      </c>
      <c r="Q419" s="10" t="s">
        <v>36</v>
      </c>
      <c r="R419" s="2" t="s">
        <v>353</v>
      </c>
      <c r="S419" s="3">
        <v>17086.509999999998</v>
      </c>
      <c r="T419" s="11">
        <f t="shared" si="8"/>
        <v>0.13168996824613868</v>
      </c>
      <c r="U419" s="1" t="s">
        <v>354</v>
      </c>
      <c r="V419" s="6"/>
      <c r="W419" s="1"/>
      <c r="X419" s="6" t="s">
        <v>356</v>
      </c>
      <c r="Y419" s="1" t="s">
        <v>357</v>
      </c>
    </row>
    <row r="420" spans="16:25">
      <c r="P420" s="2" t="s">
        <v>826</v>
      </c>
      <c r="Q420" s="292" t="s">
        <v>38</v>
      </c>
      <c r="R420" s="292" t="s">
        <v>448</v>
      </c>
      <c r="S420" s="3">
        <v>7352.9500000000016</v>
      </c>
      <c r="T420" s="11">
        <f t="shared" si="8"/>
        <v>5.6671008416314721E-2</v>
      </c>
      <c r="U420" s="1" t="s">
        <v>354</v>
      </c>
      <c r="V420" s="6"/>
      <c r="W420" s="1"/>
      <c r="X420" s="6" t="s">
        <v>356</v>
      </c>
      <c r="Y420" s="1" t="s">
        <v>357</v>
      </c>
    </row>
    <row r="421" spans="16:25">
      <c r="P421" s="2" t="s">
        <v>827</v>
      </c>
      <c r="Q421" s="292" t="s">
        <v>37</v>
      </c>
      <c r="R421" s="292" t="s">
        <v>451</v>
      </c>
      <c r="S421" s="3">
        <v>7464.6000000000013</v>
      </c>
      <c r="T421" s="11">
        <f t="shared" si="8"/>
        <v>5.7531522643894335E-2</v>
      </c>
      <c r="U421" s="1" t="s">
        <v>354</v>
      </c>
      <c r="V421" s="6"/>
      <c r="W421" s="1"/>
      <c r="X421" s="6" t="s">
        <v>356</v>
      </c>
      <c r="Y421" s="1" t="s">
        <v>357</v>
      </c>
    </row>
    <row r="422" spans="16:25">
      <c r="P422" s="2" t="s">
        <v>828</v>
      </c>
      <c r="Q422" s="292" t="s">
        <v>39</v>
      </c>
      <c r="R422" s="292" t="s">
        <v>452</v>
      </c>
      <c r="S422" s="3">
        <v>2971.3400000000006</v>
      </c>
      <c r="T422" s="11">
        <f t="shared" si="8"/>
        <v>2.2900853963066875E-2</v>
      </c>
      <c r="U422" s="1" t="s">
        <v>354</v>
      </c>
      <c r="V422" s="6"/>
      <c r="W422" s="1"/>
      <c r="X422" s="6" t="s">
        <v>356</v>
      </c>
      <c r="Y422" s="1" t="s">
        <v>357</v>
      </c>
    </row>
    <row r="423" spans="16:25">
      <c r="P423" s="2" t="s">
        <v>829</v>
      </c>
      <c r="Q423" s="292" t="s">
        <v>40</v>
      </c>
      <c r="R423" s="292" t="s">
        <v>453</v>
      </c>
      <c r="S423" s="3">
        <v>5992.4150000000009</v>
      </c>
      <c r="T423" s="11">
        <f t="shared" si="8"/>
        <v>4.6185027900237395E-2</v>
      </c>
      <c r="U423" s="1" t="s">
        <v>354</v>
      </c>
      <c r="V423" s="6"/>
      <c r="W423" s="1"/>
      <c r="X423" s="6" t="s">
        <v>356</v>
      </c>
      <c r="Y423" s="1" t="s">
        <v>357</v>
      </c>
    </row>
    <row r="424" spans="16:25">
      <c r="P424" s="2" t="s">
        <v>830</v>
      </c>
      <c r="Q424" s="292" t="s">
        <v>40</v>
      </c>
      <c r="R424" s="292" t="s">
        <v>453</v>
      </c>
      <c r="S424" s="3">
        <v>8329.2350000000042</v>
      </c>
      <c r="T424" s="11">
        <f t="shared" si="8"/>
        <v>6.4195478928384286E-2</v>
      </c>
      <c r="U424" s="1" t="s">
        <v>354</v>
      </c>
      <c r="V424" s="6"/>
      <c r="W424" s="1"/>
      <c r="X424" s="6" t="s">
        <v>356</v>
      </c>
      <c r="Y424" s="1" t="s">
        <v>357</v>
      </c>
    </row>
    <row r="425" spans="16:25">
      <c r="P425" s="292" t="s">
        <v>831</v>
      </c>
      <c r="Q425" s="10" t="s">
        <v>36</v>
      </c>
      <c r="R425" s="2" t="s">
        <v>353</v>
      </c>
      <c r="S425" s="3">
        <v>25008.349999999991</v>
      </c>
      <c r="T425" s="11">
        <f t="shared" si="8"/>
        <v>0.192745552917964</v>
      </c>
      <c r="U425" s="1" t="s">
        <v>354</v>
      </c>
      <c r="V425" s="2"/>
      <c r="W425" s="2"/>
      <c r="X425" s="6" t="s">
        <v>356</v>
      </c>
      <c r="Y425" s="1" t="s">
        <v>357</v>
      </c>
    </row>
    <row r="426" spans="16:25">
      <c r="P426" s="292" t="s">
        <v>832</v>
      </c>
      <c r="Q426" s="10" t="s">
        <v>36</v>
      </c>
      <c r="R426" s="2" t="s">
        <v>353</v>
      </c>
      <c r="S426" s="3">
        <v>25931.244999999999</v>
      </c>
      <c r="T426" s="11">
        <f t="shared" si="8"/>
        <v>0.19985853346487037</v>
      </c>
      <c r="U426" s="1" t="s">
        <v>354</v>
      </c>
      <c r="V426" s="2"/>
      <c r="W426" s="2"/>
      <c r="X426" s="6" t="s">
        <v>356</v>
      </c>
      <c r="Y426" s="1" t="s">
        <v>357</v>
      </c>
    </row>
    <row r="427" spans="16:25">
      <c r="P427" s="292" t="s">
        <v>833</v>
      </c>
      <c r="Q427" s="10"/>
      <c r="R427" s="2"/>
      <c r="S427" s="3">
        <v>32174.145000000004</v>
      </c>
      <c r="T427" s="11">
        <f t="shared" si="8"/>
        <v>0.24797411135431766</v>
      </c>
      <c r="U427" s="1" t="s">
        <v>354</v>
      </c>
      <c r="V427" s="2"/>
      <c r="W427" s="2"/>
      <c r="X427" s="6" t="s">
        <v>356</v>
      </c>
      <c r="Y427" s="1" t="s">
        <v>357</v>
      </c>
    </row>
    <row r="428" spans="16:25">
      <c r="P428" s="292" t="s">
        <v>379</v>
      </c>
      <c r="Q428" s="10" t="s">
        <v>36</v>
      </c>
      <c r="R428" s="2" t="s">
        <v>353</v>
      </c>
      <c r="S428" s="3">
        <v>25008.349999999991</v>
      </c>
      <c r="T428" s="11">
        <f t="shared" si="8"/>
        <v>0.192745552917964</v>
      </c>
      <c r="U428" s="1" t="s">
        <v>354</v>
      </c>
      <c r="V428" s="2"/>
      <c r="W428" s="2"/>
      <c r="X428" s="6" t="s">
        <v>356</v>
      </c>
      <c r="Y428" s="1" t="s">
        <v>357</v>
      </c>
    </row>
    <row r="429" spans="16:25">
      <c r="P429" s="292" t="s">
        <v>384</v>
      </c>
      <c r="Q429" s="10" t="s">
        <v>36</v>
      </c>
      <c r="R429" s="2" t="s">
        <v>353</v>
      </c>
      <c r="S429" s="3">
        <v>25931.244999999999</v>
      </c>
      <c r="T429" s="11">
        <f t="shared" si="8"/>
        <v>0.19985853346487037</v>
      </c>
      <c r="U429" s="1" t="s">
        <v>354</v>
      </c>
      <c r="V429" s="6"/>
      <c r="W429" s="1"/>
      <c r="X429" s="6" t="s">
        <v>356</v>
      </c>
      <c r="Y429" s="1" t="s">
        <v>357</v>
      </c>
    </row>
    <row r="430" spans="16:25">
      <c r="P430" s="292" t="s">
        <v>389</v>
      </c>
      <c r="Q430" s="10"/>
      <c r="R430" s="2"/>
      <c r="S430" s="3">
        <v>32174.145000000004</v>
      </c>
      <c r="T430" s="11">
        <f t="shared" si="8"/>
        <v>0.24797411135431766</v>
      </c>
      <c r="U430" s="1" t="s">
        <v>354</v>
      </c>
      <c r="V430" s="6"/>
      <c r="W430" s="1"/>
      <c r="X430" s="6" t="s">
        <v>356</v>
      </c>
      <c r="Y430" s="1" t="s">
        <v>357</v>
      </c>
    </row>
    <row r="431" spans="16:25">
      <c r="P431" s="2" t="s">
        <v>340</v>
      </c>
      <c r="Q431" s="10" t="s">
        <v>36</v>
      </c>
      <c r="R431" s="2" t="s">
        <v>353</v>
      </c>
      <c r="S431" s="3">
        <v>83113.740000000005</v>
      </c>
      <c r="T431" s="11">
        <f t="shared" si="8"/>
        <v>0.64057819773715208</v>
      </c>
      <c r="U431" s="1" t="s">
        <v>354</v>
      </c>
      <c r="V431" s="2"/>
      <c r="W431" s="2"/>
      <c r="X431" s="6" t="s">
        <v>356</v>
      </c>
      <c r="Y431" s="1" t="s">
        <v>357</v>
      </c>
    </row>
    <row r="432" spans="16:25">
      <c r="P432" s="2" t="s">
        <v>399</v>
      </c>
      <c r="Q432" s="10" t="s">
        <v>36</v>
      </c>
      <c r="R432" s="2" t="s">
        <v>353</v>
      </c>
      <c r="S432" s="3">
        <v>122106</v>
      </c>
      <c r="T432" s="11">
        <f t="shared" si="8"/>
        <v>0.94110121157936932</v>
      </c>
      <c r="U432" s="1" t="s">
        <v>354</v>
      </c>
      <c r="V432" s="2"/>
      <c r="W432" s="2"/>
      <c r="X432" s="6" t="s">
        <v>356</v>
      </c>
      <c r="Y432" s="1" t="s">
        <v>357</v>
      </c>
    </row>
    <row r="433" spans="16:25">
      <c r="P433" s="2" t="s">
        <v>410</v>
      </c>
      <c r="Q433" s="10" t="s">
        <v>36</v>
      </c>
      <c r="R433" s="2" t="s">
        <v>353</v>
      </c>
      <c r="S433" s="3">
        <v>83113.740000000005</v>
      </c>
      <c r="T433" s="11">
        <f t="shared" si="8"/>
        <v>0.64057819773715208</v>
      </c>
      <c r="U433" s="1" t="s">
        <v>354</v>
      </c>
      <c r="V433" s="2"/>
      <c r="W433" s="2"/>
      <c r="X433" s="6" t="s">
        <v>356</v>
      </c>
      <c r="Y433" s="1" t="s">
        <v>357</v>
      </c>
    </row>
    <row r="434" spans="16:25">
      <c r="P434" s="2" t="s">
        <v>351</v>
      </c>
      <c r="Q434" s="10"/>
      <c r="R434" s="2"/>
      <c r="S434" s="3">
        <f>(29*540)/1000</f>
        <v>15.66</v>
      </c>
      <c r="T434" s="11">
        <f t="shared" si="8"/>
        <v>1.2069550205012796E-4</v>
      </c>
      <c r="U434" s="1" t="s">
        <v>354</v>
      </c>
      <c r="V434" s="2"/>
      <c r="W434" s="2"/>
      <c r="X434" s="6" t="s">
        <v>356</v>
      </c>
      <c r="Y434" s="1" t="s">
        <v>357</v>
      </c>
    </row>
    <row r="435" spans="16:25">
      <c r="P435" s="2" t="s">
        <v>363</v>
      </c>
      <c r="Q435" s="10"/>
      <c r="R435" s="2"/>
      <c r="S435" s="3">
        <f>(29*545)/1000</f>
        <v>15.805</v>
      </c>
      <c r="T435" s="11">
        <f t="shared" si="8"/>
        <v>1.2181305299503655E-4</v>
      </c>
      <c r="U435" s="1" t="s">
        <v>354</v>
      </c>
      <c r="V435" s="2"/>
      <c r="W435" s="2"/>
      <c r="X435" s="6" t="s">
        <v>356</v>
      </c>
      <c r="Y435" s="1" t="s">
        <v>357</v>
      </c>
    </row>
    <row r="436" spans="16:25">
      <c r="P436" s="2" t="s">
        <v>371</v>
      </c>
      <c r="Q436" s="10"/>
      <c r="R436" s="2"/>
      <c r="S436" s="3">
        <f>(29*550)/1000</f>
        <v>15.95</v>
      </c>
      <c r="T436" s="11">
        <f t="shared" si="8"/>
        <v>1.2293060393994514E-4</v>
      </c>
      <c r="U436" s="1" t="s">
        <v>354</v>
      </c>
      <c r="V436" s="2"/>
      <c r="W436" s="2"/>
      <c r="X436" s="6" t="s">
        <v>356</v>
      </c>
      <c r="Y436" s="1" t="s">
        <v>357</v>
      </c>
    </row>
    <row r="437" spans="16:25">
      <c r="P437" s="2" t="s">
        <v>378</v>
      </c>
      <c r="Q437" s="10"/>
      <c r="R437" s="2"/>
      <c r="S437" s="3">
        <f>(58*540)/1000</f>
        <v>31.32</v>
      </c>
      <c r="T437" s="11">
        <f t="shared" si="8"/>
        <v>2.4139100410025592E-4</v>
      </c>
      <c r="U437" s="1" t="s">
        <v>354</v>
      </c>
      <c r="V437" s="2"/>
      <c r="W437" s="2"/>
      <c r="X437" s="6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11">
        <f t="shared" si="8"/>
        <v>2.436261059900731E-4</v>
      </c>
      <c r="U438" s="1" t="s">
        <v>354</v>
      </c>
      <c r="V438" s="2"/>
      <c r="W438" s="2"/>
      <c r="X438" s="6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11">
        <f t="shared" si="8"/>
        <v>2.4586120787989027E-4</v>
      </c>
      <c r="U439" s="1" t="s">
        <v>354</v>
      </c>
      <c r="V439" s="2"/>
      <c r="W439" s="2"/>
      <c r="X439" s="6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 t="s">
        <v>1329</v>
      </c>
      <c r="S440" s="336">
        <v>2169.1999999999998</v>
      </c>
      <c r="T440" s="11">
        <f t="shared" si="8"/>
        <v>1.6718562135832539E-2</v>
      </c>
    </row>
    <row r="441" spans="16:25">
      <c r="P441" s="2" t="s">
        <v>164</v>
      </c>
      <c r="Q441" s="2" t="s">
        <v>41</v>
      </c>
      <c r="R441" s="2" t="s">
        <v>1329</v>
      </c>
      <c r="S441" s="336">
        <v>2073.5</v>
      </c>
      <c r="T441" s="11">
        <f t="shared" si="8"/>
        <v>1.5980978512192868E-2</v>
      </c>
    </row>
    <row r="442" spans="16:25">
      <c r="P442" s="2" t="s">
        <v>165</v>
      </c>
      <c r="Q442" s="2" t="s">
        <v>41</v>
      </c>
      <c r="R442" s="2" t="s">
        <v>1329</v>
      </c>
      <c r="S442" s="336">
        <v>1866.1500000000003</v>
      </c>
      <c r="T442" s="11">
        <f t="shared" si="8"/>
        <v>1.4382880660973584E-2</v>
      </c>
    </row>
    <row r="443" spans="16:25">
      <c r="P443" s="2" t="s">
        <v>166</v>
      </c>
      <c r="Q443" s="2" t="s">
        <v>41</v>
      </c>
      <c r="R443" s="2" t="s">
        <v>1329</v>
      </c>
      <c r="S443" s="336">
        <v>2041.6000000000001</v>
      </c>
      <c r="T443" s="11">
        <f t="shared" si="8"/>
        <v>1.5735117304312977E-2</v>
      </c>
    </row>
    <row r="444" spans="16:25">
      <c r="P444" s="2" t="s">
        <v>167</v>
      </c>
      <c r="Q444" s="2" t="s">
        <v>41</v>
      </c>
      <c r="R444" s="2" t="s">
        <v>1329</v>
      </c>
      <c r="S444" s="336">
        <v>2264.9</v>
      </c>
      <c r="T444" s="11">
        <f t="shared" si="8"/>
        <v>1.745614575947221E-2</v>
      </c>
    </row>
    <row r="445" spans="16:25">
      <c r="P445" s="2" t="s">
        <v>168</v>
      </c>
      <c r="Q445" s="2" t="s">
        <v>41</v>
      </c>
      <c r="R445" s="2" t="s">
        <v>1329</v>
      </c>
      <c r="S445" s="336">
        <v>2246.4850000000001</v>
      </c>
      <c r="T445" s="11">
        <f t="shared" si="8"/>
        <v>1.7314216789468821E-2</v>
      </c>
    </row>
    <row r="446" spans="16:25">
      <c r="P446" s="2" t="s">
        <v>169</v>
      </c>
      <c r="Q446" s="2" t="s">
        <v>41</v>
      </c>
      <c r="R446" s="2" t="s">
        <v>1329</v>
      </c>
      <c r="S446" s="336">
        <v>2233</v>
      </c>
      <c r="T446" s="11">
        <f t="shared" si="8"/>
        <v>1.721028455159232E-2</v>
      </c>
    </row>
    <row r="447" spans="16:25">
      <c r="P447" s="2" t="s">
        <v>170</v>
      </c>
      <c r="Q447" s="2" t="s">
        <v>41</v>
      </c>
      <c r="R447" s="2" t="s">
        <v>1329</v>
      </c>
      <c r="S447" s="336">
        <v>2341.7500000000005</v>
      </c>
      <c r="T447" s="11">
        <f t="shared" si="8"/>
        <v>1.8048447760273766E-2</v>
      </c>
    </row>
    <row r="448" spans="16:25">
      <c r="P448" s="2" t="s">
        <v>171</v>
      </c>
      <c r="Q448" s="2" t="s">
        <v>41</v>
      </c>
      <c r="R448" s="2" t="s">
        <v>1329</v>
      </c>
      <c r="S448" s="1">
        <v>1454.06</v>
      </c>
      <c r="T448" s="11">
        <f t="shared" si="8"/>
        <v>1.1206800875543361E-2</v>
      </c>
    </row>
    <row r="449" spans="16:20">
      <c r="P449" s="2" t="s">
        <v>172</v>
      </c>
      <c r="Q449" s="2" t="s">
        <v>41</v>
      </c>
      <c r="R449" s="2" t="s">
        <v>1329</v>
      </c>
      <c r="S449" s="1">
        <v>1280.2049999999999</v>
      </c>
      <c r="T449" s="11">
        <f t="shared" si="8"/>
        <v>9.8668572925979595E-3</v>
      </c>
    </row>
    <row r="450" spans="16:20">
      <c r="P450" s="2" t="s">
        <v>173</v>
      </c>
      <c r="Q450" s="2" t="s">
        <v>41</v>
      </c>
      <c r="R450" s="2" t="s">
        <v>1329</v>
      </c>
      <c r="S450" s="1">
        <v>1359.23</v>
      </c>
      <c r="T450" s="11">
        <f t="shared" si="8"/>
        <v>1.0475922557573143E-2</v>
      </c>
    </row>
    <row r="451" spans="16:20">
      <c r="P451" s="2" t="s">
        <v>174</v>
      </c>
      <c r="Q451" s="2" t="s">
        <v>41</v>
      </c>
      <c r="R451" s="2" t="s">
        <v>1329</v>
      </c>
      <c r="S451" s="1">
        <v>1390.8400000000001</v>
      </c>
      <c r="T451" s="11">
        <f t="shared" si="8"/>
        <v>1.0719548663563217E-2</v>
      </c>
    </row>
    <row r="452" spans="16:20">
      <c r="P452" s="2" t="s">
        <v>838</v>
      </c>
      <c r="Q452" s="2" t="s">
        <v>41</v>
      </c>
      <c r="R452" s="2" t="s">
        <v>1329</v>
      </c>
      <c r="S452" s="336">
        <v>4242.7</v>
      </c>
      <c r="T452" s="11">
        <f t="shared" si="8"/>
        <v>3.2699540648025403E-2</v>
      </c>
    </row>
    <row r="453" spans="16:20">
      <c r="P453" s="2" t="s">
        <v>839</v>
      </c>
      <c r="Q453" s="2" t="s">
        <v>41</v>
      </c>
      <c r="R453" s="2" t="s">
        <v>1329</v>
      </c>
      <c r="S453" s="336">
        <v>3907.7499999999995</v>
      </c>
      <c r="T453" s="11">
        <f t="shared" si="8"/>
        <v>3.0117997965286556E-2</v>
      </c>
    </row>
    <row r="454" spans="16:20">
      <c r="P454" s="2" t="s">
        <v>840</v>
      </c>
      <c r="Q454" s="2" t="s">
        <v>41</v>
      </c>
      <c r="R454" s="2" t="s">
        <v>1329</v>
      </c>
      <c r="S454" s="336">
        <v>4511.3849999999993</v>
      </c>
      <c r="T454" s="11">
        <f t="shared" si="8"/>
        <v>3.4770362548941024E-2</v>
      </c>
    </row>
    <row r="455" spans="16:20">
      <c r="P455" s="2" t="s">
        <v>841</v>
      </c>
      <c r="Q455" s="2" t="s">
        <v>41</v>
      </c>
      <c r="R455" s="2" t="s">
        <v>1329</v>
      </c>
      <c r="S455" s="336">
        <v>4574.7500000000009</v>
      </c>
      <c r="T455" s="11">
        <f t="shared" si="8"/>
        <v>3.5258732311866089E-2</v>
      </c>
    </row>
    <row r="456" spans="16:20">
      <c r="P456" s="2" t="s">
        <v>842</v>
      </c>
      <c r="Q456" s="2" t="s">
        <v>41</v>
      </c>
      <c r="R456" s="2" t="s">
        <v>1329</v>
      </c>
      <c r="S456" s="1">
        <v>5484.3350000000019</v>
      </c>
      <c r="T456" s="11">
        <f t="shared" si="8"/>
        <v>4.2269129389277696E-2</v>
      </c>
    </row>
    <row r="457" spans="16:20">
      <c r="P457" s="2" t="s">
        <v>843</v>
      </c>
      <c r="Q457" s="2" t="s">
        <v>41</v>
      </c>
      <c r="R457" s="2" t="s">
        <v>1329</v>
      </c>
      <c r="S457" s="336">
        <v>223.3</v>
      </c>
      <c r="T457" s="11">
        <f t="shared" si="8"/>
        <v>1.721028455159232E-3</v>
      </c>
    </row>
    <row r="458" spans="16:20">
      <c r="P458" s="2" t="s">
        <v>844</v>
      </c>
      <c r="Q458" s="2" t="s">
        <v>41</v>
      </c>
      <c r="R458" s="2" t="s">
        <v>1329</v>
      </c>
      <c r="S458" s="336">
        <v>255.2</v>
      </c>
      <c r="T458" s="11">
        <f t="shared" si="8"/>
        <v>1.9668896630391222E-3</v>
      </c>
    </row>
    <row r="459" spans="16:20">
      <c r="P459" s="2" t="s">
        <v>845</v>
      </c>
      <c r="Q459" s="2" t="s">
        <v>41</v>
      </c>
      <c r="R459" s="2" t="s">
        <v>1329</v>
      </c>
      <c r="S459" s="336">
        <v>255.2</v>
      </c>
      <c r="T459" s="11">
        <f t="shared" si="8"/>
        <v>1.9668896630391222E-3</v>
      </c>
    </row>
    <row r="460" spans="16:20">
      <c r="P460" s="2" t="s">
        <v>846</v>
      </c>
      <c r="Q460" s="2" t="s">
        <v>41</v>
      </c>
      <c r="R460" s="2" t="s">
        <v>1329</v>
      </c>
      <c r="S460" s="336">
        <v>287.10000000000002</v>
      </c>
      <c r="T460" s="11">
        <f t="shared" si="8"/>
        <v>2.2127508709190126E-3</v>
      </c>
    </row>
    <row r="461" spans="16:20">
      <c r="P461" s="2" t="s">
        <v>847</v>
      </c>
      <c r="Q461" s="2" t="s">
        <v>41</v>
      </c>
      <c r="R461" s="2" t="s">
        <v>1329</v>
      </c>
      <c r="S461" s="336">
        <v>223.3</v>
      </c>
      <c r="T461" s="11">
        <f t="shared" si="8"/>
        <v>1.721028455159232E-3</v>
      </c>
    </row>
    <row r="462" spans="16:20">
      <c r="P462" s="2" t="s">
        <v>848</v>
      </c>
      <c r="Q462" s="2" t="s">
        <v>41</v>
      </c>
      <c r="R462" s="2" t="s">
        <v>1329</v>
      </c>
      <c r="S462" s="336">
        <v>223.3</v>
      </c>
      <c r="T462" s="11">
        <f t="shared" si="8"/>
        <v>1.721028455159232E-3</v>
      </c>
    </row>
    <row r="463" spans="16:20">
      <c r="P463" s="2" t="s">
        <v>849</v>
      </c>
      <c r="Q463" s="2" t="s">
        <v>41</v>
      </c>
      <c r="R463" s="2" t="s">
        <v>1329</v>
      </c>
      <c r="S463" s="336">
        <v>223.3</v>
      </c>
      <c r="T463" s="11">
        <f t="shared" si="8"/>
        <v>1.721028455159232E-3</v>
      </c>
    </row>
    <row r="464" spans="16:20">
      <c r="P464" s="2" t="s">
        <v>850</v>
      </c>
      <c r="Q464" s="2" t="s">
        <v>41</v>
      </c>
      <c r="R464" s="2" t="s">
        <v>1329</v>
      </c>
      <c r="S464" s="336">
        <v>223.3</v>
      </c>
      <c r="T464" s="11">
        <f t="shared" si="8"/>
        <v>1.721028455159232E-3</v>
      </c>
    </row>
    <row r="465" spans="16:20">
      <c r="P465" s="2" t="s">
        <v>851</v>
      </c>
      <c r="Q465" s="2" t="s">
        <v>41</v>
      </c>
      <c r="R465" s="2" t="s">
        <v>1329</v>
      </c>
      <c r="S465" s="336">
        <v>255.2</v>
      </c>
      <c r="T465" s="11">
        <f t="shared" si="8"/>
        <v>1.9668896630391222E-3</v>
      </c>
    </row>
    <row r="466" spans="16:20">
      <c r="P466" s="2" t="s">
        <v>852</v>
      </c>
      <c r="Q466" s="2" t="s">
        <v>41</v>
      </c>
      <c r="R466" s="2" t="s">
        <v>1329</v>
      </c>
      <c r="S466" s="336">
        <v>223.3</v>
      </c>
      <c r="T466" s="11">
        <f t="shared" si="8"/>
        <v>1.721028455159232E-3</v>
      </c>
    </row>
    <row r="467" spans="16:20">
      <c r="P467" s="2" t="s">
        <v>853</v>
      </c>
      <c r="Q467" s="2" t="s">
        <v>41</v>
      </c>
      <c r="R467" s="2" t="s">
        <v>1329</v>
      </c>
      <c r="S467" s="336">
        <v>223.3</v>
      </c>
      <c r="T467" s="11">
        <f t="shared" si="8"/>
        <v>1.721028455159232E-3</v>
      </c>
    </row>
    <row r="468" spans="16:20">
      <c r="P468" s="2" t="s">
        <v>854</v>
      </c>
      <c r="Q468" s="2" t="s">
        <v>41</v>
      </c>
      <c r="R468" s="2" t="s">
        <v>1329</v>
      </c>
      <c r="S468" s="336">
        <v>223.3</v>
      </c>
      <c r="T468" s="11">
        <f t="shared" si="8"/>
        <v>1.721028455159232E-3</v>
      </c>
    </row>
    <row r="469" spans="16:20">
      <c r="P469" s="2" t="s">
        <v>855</v>
      </c>
      <c r="Q469" s="2" t="s">
        <v>41</v>
      </c>
      <c r="R469" s="2" t="s">
        <v>1329</v>
      </c>
      <c r="S469" s="336">
        <v>255.2</v>
      </c>
      <c r="T469" s="11">
        <f t="shared" si="8"/>
        <v>1.9668896630391222E-3</v>
      </c>
    </row>
    <row r="470" spans="16:20">
      <c r="P470" s="2" t="s">
        <v>856</v>
      </c>
      <c r="Q470" s="2" t="s">
        <v>41</v>
      </c>
      <c r="R470" s="2" t="s">
        <v>1329</v>
      </c>
      <c r="S470" s="336">
        <v>255.2</v>
      </c>
      <c r="T470" s="11">
        <f t="shared" si="8"/>
        <v>1.9668896630391222E-3</v>
      </c>
    </row>
    <row r="471" spans="16:20">
      <c r="P471" s="2" t="s">
        <v>857</v>
      </c>
      <c r="Q471" s="2" t="s">
        <v>41</v>
      </c>
      <c r="R471" s="2" t="s">
        <v>1329</v>
      </c>
      <c r="S471" s="336">
        <v>255.2</v>
      </c>
      <c r="T471" s="11">
        <f t="shared" si="8"/>
        <v>1.9668896630391222E-3</v>
      </c>
    </row>
    <row r="472" spans="16:20">
      <c r="P472" s="2" t="s">
        <v>858</v>
      </c>
      <c r="Q472" s="2" t="s">
        <v>41</v>
      </c>
      <c r="R472" s="2" t="s">
        <v>1329</v>
      </c>
      <c r="S472" s="336">
        <v>223.3</v>
      </c>
      <c r="T472" s="11">
        <f t="shared" si="8"/>
        <v>1.721028455159232E-3</v>
      </c>
    </row>
    <row r="473" spans="16:20">
      <c r="P473" s="2" t="s">
        <v>859</v>
      </c>
      <c r="Q473" s="2" t="s">
        <v>41</v>
      </c>
      <c r="R473" s="2" t="s">
        <v>1329</v>
      </c>
      <c r="S473" s="336">
        <v>159.5</v>
      </c>
      <c r="T473" s="11">
        <f t="shared" si="8"/>
        <v>1.2293060393994515E-3</v>
      </c>
    </row>
    <row r="474" spans="16:20">
      <c r="P474" s="2" t="s">
        <v>860</v>
      </c>
      <c r="Q474" s="2" t="s">
        <v>41</v>
      </c>
      <c r="R474" s="2" t="s">
        <v>1329</v>
      </c>
      <c r="S474" s="336">
        <v>255.2</v>
      </c>
      <c r="T474" s="11">
        <f t="shared" si="8"/>
        <v>1.9668896630391222E-3</v>
      </c>
    </row>
    <row r="475" spans="16:20">
      <c r="P475" s="2" t="s">
        <v>861</v>
      </c>
      <c r="Q475" s="2" t="s">
        <v>41</v>
      </c>
      <c r="R475" s="2" t="s">
        <v>1329</v>
      </c>
      <c r="S475" s="336">
        <v>223.3</v>
      </c>
      <c r="T475" s="11">
        <f t="shared" si="8"/>
        <v>1.721028455159232E-3</v>
      </c>
    </row>
    <row r="476" spans="16:20">
      <c r="P476" s="2" t="s">
        <v>862</v>
      </c>
      <c r="Q476" s="2" t="s">
        <v>41</v>
      </c>
      <c r="R476" s="2" t="s">
        <v>1329</v>
      </c>
      <c r="S476" s="336">
        <v>223.3</v>
      </c>
      <c r="T476" s="11">
        <f t="shared" si="8"/>
        <v>1.721028455159232E-3</v>
      </c>
    </row>
    <row r="477" spans="16:20">
      <c r="P477" s="2" t="s">
        <v>863</v>
      </c>
      <c r="Q477" s="2" t="s">
        <v>41</v>
      </c>
      <c r="R477" s="2" t="s">
        <v>1329</v>
      </c>
      <c r="S477" s="336">
        <v>191.4</v>
      </c>
      <c r="T477" s="11">
        <f t="shared" si="8"/>
        <v>1.4751672472793416E-3</v>
      </c>
    </row>
    <row r="478" spans="16:20">
      <c r="P478" s="2" t="s">
        <v>864</v>
      </c>
      <c r="Q478" s="2" t="s">
        <v>41</v>
      </c>
      <c r="R478" s="2" t="s">
        <v>1329</v>
      </c>
      <c r="S478" s="336">
        <v>255.2</v>
      </c>
      <c r="T478" s="11">
        <f t="shared" ref="T478:T541" si="9">S478/$B$2</f>
        <v>1.9668896630391222E-3</v>
      </c>
    </row>
    <row r="479" spans="16:20">
      <c r="P479" s="2" t="s">
        <v>865</v>
      </c>
      <c r="Q479" s="2" t="s">
        <v>41</v>
      </c>
      <c r="R479" s="2" t="s">
        <v>1329</v>
      </c>
      <c r="S479" s="336">
        <v>287.10000000000002</v>
      </c>
      <c r="T479" s="11">
        <f t="shared" si="9"/>
        <v>2.2127508709190126E-3</v>
      </c>
    </row>
    <row r="480" spans="16:20">
      <c r="P480" s="2" t="s">
        <v>866</v>
      </c>
      <c r="Q480" s="2" t="s">
        <v>41</v>
      </c>
      <c r="R480" s="2" t="s">
        <v>1329</v>
      </c>
      <c r="S480" s="336">
        <v>255.2</v>
      </c>
      <c r="T480" s="11">
        <f t="shared" si="9"/>
        <v>1.9668896630391222E-3</v>
      </c>
    </row>
    <row r="481" spans="16:20">
      <c r="P481" s="2" t="s">
        <v>867</v>
      </c>
      <c r="Q481" s="2" t="s">
        <v>41</v>
      </c>
      <c r="R481" s="2" t="s">
        <v>1329</v>
      </c>
      <c r="S481" s="336">
        <v>255.2</v>
      </c>
      <c r="T481" s="11">
        <f t="shared" si="9"/>
        <v>1.9668896630391222E-3</v>
      </c>
    </row>
    <row r="482" spans="16:20">
      <c r="P482" s="2" t="s">
        <v>868</v>
      </c>
      <c r="Q482" s="2" t="s">
        <v>41</v>
      </c>
      <c r="R482" s="2" t="s">
        <v>1329</v>
      </c>
      <c r="S482" s="336">
        <v>175.45</v>
      </c>
      <c r="T482" s="11">
        <f t="shared" si="9"/>
        <v>1.3522366433393964E-3</v>
      </c>
    </row>
    <row r="483" spans="16:20">
      <c r="P483" s="2" t="s">
        <v>869</v>
      </c>
      <c r="Q483" s="2" t="s">
        <v>41</v>
      </c>
      <c r="R483" s="2" t="s">
        <v>1329</v>
      </c>
      <c r="S483" s="336">
        <v>0</v>
      </c>
      <c r="T483" s="11">
        <f t="shared" si="9"/>
        <v>0</v>
      </c>
    </row>
    <row r="484" spans="16:20">
      <c r="P484" s="2" t="s">
        <v>870</v>
      </c>
      <c r="Q484" s="2" t="s">
        <v>41</v>
      </c>
      <c r="R484" s="2" t="s">
        <v>1329</v>
      </c>
      <c r="S484" s="336">
        <v>255.2</v>
      </c>
      <c r="T484" s="11">
        <f t="shared" si="9"/>
        <v>1.9668896630391222E-3</v>
      </c>
    </row>
    <row r="485" spans="16:20">
      <c r="P485" s="2" t="s">
        <v>871</v>
      </c>
      <c r="Q485" s="2" t="s">
        <v>41</v>
      </c>
      <c r="R485" s="2" t="s">
        <v>1329</v>
      </c>
      <c r="S485" s="336">
        <v>223.3</v>
      </c>
      <c r="T485" s="11">
        <f t="shared" si="9"/>
        <v>1.721028455159232E-3</v>
      </c>
    </row>
    <row r="486" spans="16:20">
      <c r="P486" s="2" t="s">
        <v>872</v>
      </c>
      <c r="Q486" s="2" t="s">
        <v>41</v>
      </c>
      <c r="R486" s="2" t="s">
        <v>1329</v>
      </c>
      <c r="S486" s="336">
        <v>255.2</v>
      </c>
      <c r="T486" s="11">
        <f t="shared" si="9"/>
        <v>1.9668896630391222E-3</v>
      </c>
    </row>
    <row r="487" spans="16:20">
      <c r="P487" s="2" t="s">
        <v>873</v>
      </c>
      <c r="Q487" s="2" t="s">
        <v>41</v>
      </c>
      <c r="R487" s="2" t="s">
        <v>1329</v>
      </c>
      <c r="S487" s="336">
        <v>287.10000000000002</v>
      </c>
      <c r="T487" s="11">
        <f t="shared" si="9"/>
        <v>2.2127508709190126E-3</v>
      </c>
    </row>
    <row r="488" spans="16:20">
      <c r="P488" s="2" t="s">
        <v>874</v>
      </c>
      <c r="Q488" s="2" t="s">
        <v>41</v>
      </c>
      <c r="R488" s="2" t="s">
        <v>1329</v>
      </c>
      <c r="S488" s="336">
        <v>255.2</v>
      </c>
      <c r="T488" s="11">
        <f t="shared" si="9"/>
        <v>1.9668896630391222E-3</v>
      </c>
    </row>
    <row r="489" spans="16:20">
      <c r="P489" s="2" t="s">
        <v>875</v>
      </c>
      <c r="Q489" s="2" t="s">
        <v>41</v>
      </c>
      <c r="R489" s="2" t="s">
        <v>1329</v>
      </c>
      <c r="S489" s="336">
        <v>255.2</v>
      </c>
      <c r="T489" s="11">
        <f t="shared" si="9"/>
        <v>1.9668896630391222E-3</v>
      </c>
    </row>
    <row r="490" spans="16:20">
      <c r="P490" s="2" t="s">
        <v>876</v>
      </c>
      <c r="Q490" s="2" t="s">
        <v>41</v>
      </c>
      <c r="R490" s="2" t="s">
        <v>1329</v>
      </c>
      <c r="S490" s="336">
        <v>255.2</v>
      </c>
      <c r="T490" s="11">
        <f t="shared" si="9"/>
        <v>1.9668896630391222E-3</v>
      </c>
    </row>
    <row r="491" spans="16:20">
      <c r="P491" s="2" t="s">
        <v>877</v>
      </c>
      <c r="Q491" s="2" t="s">
        <v>41</v>
      </c>
      <c r="R491" s="2" t="s">
        <v>1329</v>
      </c>
      <c r="S491" s="336">
        <v>255.2</v>
      </c>
      <c r="T491" s="11">
        <f t="shared" si="9"/>
        <v>1.9668896630391222E-3</v>
      </c>
    </row>
    <row r="492" spans="16:20">
      <c r="P492" s="2" t="s">
        <v>878</v>
      </c>
      <c r="Q492" s="2" t="s">
        <v>41</v>
      </c>
      <c r="R492" s="2" t="s">
        <v>1329</v>
      </c>
      <c r="S492" s="336">
        <v>0</v>
      </c>
      <c r="T492" s="11">
        <f t="shared" si="9"/>
        <v>0</v>
      </c>
    </row>
    <row r="493" spans="16:20">
      <c r="P493" s="2" t="s">
        <v>879</v>
      </c>
      <c r="Q493" s="2" t="s">
        <v>41</v>
      </c>
      <c r="R493" s="2" t="s">
        <v>1329</v>
      </c>
      <c r="S493" s="336">
        <v>255.2</v>
      </c>
      <c r="T493" s="11">
        <f t="shared" si="9"/>
        <v>1.9668896630391222E-3</v>
      </c>
    </row>
    <row r="494" spans="16:20">
      <c r="P494" s="2" t="s">
        <v>880</v>
      </c>
      <c r="Q494" s="2" t="s">
        <v>41</v>
      </c>
      <c r="R494" s="2" t="s">
        <v>1329</v>
      </c>
      <c r="S494" s="336">
        <v>191.4</v>
      </c>
      <c r="T494" s="11">
        <f t="shared" si="9"/>
        <v>1.4751672472793416E-3</v>
      </c>
    </row>
    <row r="495" spans="16:20">
      <c r="P495" s="2" t="s">
        <v>881</v>
      </c>
      <c r="Q495" s="2" t="s">
        <v>41</v>
      </c>
      <c r="R495" s="2" t="s">
        <v>1329</v>
      </c>
      <c r="S495" s="336">
        <v>255.2</v>
      </c>
      <c r="T495" s="11">
        <f t="shared" si="9"/>
        <v>1.9668896630391222E-3</v>
      </c>
    </row>
    <row r="496" spans="16:20">
      <c r="P496" s="2" t="s">
        <v>882</v>
      </c>
      <c r="Q496" s="2" t="s">
        <v>41</v>
      </c>
      <c r="R496" s="2" t="s">
        <v>1329</v>
      </c>
      <c r="S496" s="336">
        <v>255.2</v>
      </c>
      <c r="T496" s="11">
        <f t="shared" si="9"/>
        <v>1.9668896630391222E-3</v>
      </c>
    </row>
    <row r="497" spans="16:20">
      <c r="P497" s="2" t="s">
        <v>883</v>
      </c>
      <c r="Q497" s="2" t="s">
        <v>41</v>
      </c>
      <c r="R497" s="2" t="s">
        <v>1329</v>
      </c>
      <c r="S497" s="336">
        <v>271.14999999999998</v>
      </c>
      <c r="T497" s="11">
        <f t="shared" si="9"/>
        <v>2.0898202669790674E-3</v>
      </c>
    </row>
    <row r="498" spans="16:20">
      <c r="P498" s="2" t="s">
        <v>884</v>
      </c>
      <c r="Q498" s="2" t="s">
        <v>41</v>
      </c>
      <c r="R498" s="2" t="s">
        <v>1329</v>
      </c>
      <c r="S498" s="336">
        <v>255.2</v>
      </c>
      <c r="T498" s="11">
        <f t="shared" si="9"/>
        <v>1.9668896630391222E-3</v>
      </c>
    </row>
    <row r="499" spans="16:20">
      <c r="P499" s="2" t="s">
        <v>885</v>
      </c>
      <c r="Q499" s="2" t="s">
        <v>41</v>
      </c>
      <c r="R499" s="2" t="s">
        <v>1329</v>
      </c>
      <c r="S499" s="336">
        <v>287.10000000000002</v>
      </c>
      <c r="T499" s="11">
        <f t="shared" si="9"/>
        <v>2.2127508709190126E-3</v>
      </c>
    </row>
    <row r="500" spans="16:20">
      <c r="P500" s="2" t="s">
        <v>886</v>
      </c>
      <c r="Q500" s="2" t="s">
        <v>41</v>
      </c>
      <c r="R500" s="2" t="s">
        <v>1329</v>
      </c>
      <c r="S500" s="336">
        <v>239.25</v>
      </c>
      <c r="T500" s="11">
        <f t="shared" si="9"/>
        <v>1.843959059099177E-3</v>
      </c>
    </row>
    <row r="501" spans="16:20">
      <c r="P501" s="2" t="s">
        <v>887</v>
      </c>
      <c r="Q501" s="2" t="s">
        <v>41</v>
      </c>
      <c r="R501" s="2" t="s">
        <v>1329</v>
      </c>
      <c r="S501" s="336">
        <v>255.2</v>
      </c>
      <c r="T501" s="11">
        <f t="shared" si="9"/>
        <v>1.9668896630391222E-3</v>
      </c>
    </row>
    <row r="502" spans="16:20">
      <c r="P502" s="2" t="s">
        <v>888</v>
      </c>
      <c r="Q502" s="2" t="s">
        <v>41</v>
      </c>
      <c r="R502" s="2" t="s">
        <v>1329</v>
      </c>
      <c r="S502" s="336">
        <v>255.2</v>
      </c>
      <c r="T502" s="11">
        <f t="shared" si="9"/>
        <v>1.9668896630391222E-3</v>
      </c>
    </row>
    <row r="503" spans="16:20">
      <c r="P503" s="2" t="s">
        <v>889</v>
      </c>
      <c r="Q503" s="2" t="s">
        <v>41</v>
      </c>
      <c r="R503" s="2" t="s">
        <v>1329</v>
      </c>
      <c r="S503" s="336">
        <v>268.685</v>
      </c>
      <c r="T503" s="11">
        <f t="shared" si="9"/>
        <v>2.0708219009156212E-3</v>
      </c>
    </row>
    <row r="504" spans="16:20">
      <c r="P504" s="2" t="s">
        <v>890</v>
      </c>
      <c r="Q504" s="2" t="s">
        <v>41</v>
      </c>
      <c r="R504" s="2" t="s">
        <v>1329</v>
      </c>
      <c r="S504" s="336">
        <v>255.2</v>
      </c>
      <c r="T504" s="11">
        <f t="shared" si="9"/>
        <v>1.9668896630391222E-3</v>
      </c>
    </row>
    <row r="505" spans="16:20">
      <c r="P505" s="2" t="s">
        <v>891</v>
      </c>
      <c r="Q505" s="2" t="s">
        <v>41</v>
      </c>
      <c r="R505" s="2" t="s">
        <v>1329</v>
      </c>
      <c r="S505" s="336">
        <v>223.3</v>
      </c>
      <c r="T505" s="11">
        <f t="shared" si="9"/>
        <v>1.721028455159232E-3</v>
      </c>
    </row>
    <row r="506" spans="16:20">
      <c r="P506" s="2" t="s">
        <v>892</v>
      </c>
      <c r="Q506" s="2" t="s">
        <v>41</v>
      </c>
      <c r="R506" s="2" t="s">
        <v>1329</v>
      </c>
      <c r="S506" s="336">
        <v>255.2</v>
      </c>
      <c r="T506" s="11">
        <f t="shared" si="9"/>
        <v>1.9668896630391222E-3</v>
      </c>
    </row>
    <row r="507" spans="16:20">
      <c r="P507" s="2" t="s">
        <v>893</v>
      </c>
      <c r="Q507" s="2" t="s">
        <v>41</v>
      </c>
      <c r="R507" s="2" t="s">
        <v>1329</v>
      </c>
      <c r="S507" s="336">
        <v>255.2</v>
      </c>
      <c r="T507" s="11">
        <f t="shared" si="9"/>
        <v>1.9668896630391222E-3</v>
      </c>
    </row>
    <row r="508" spans="16:20">
      <c r="P508" s="2" t="s">
        <v>894</v>
      </c>
      <c r="Q508" s="2" t="s">
        <v>41</v>
      </c>
      <c r="R508" s="2" t="s">
        <v>1329</v>
      </c>
      <c r="S508" s="336">
        <v>255.2</v>
      </c>
      <c r="T508" s="11">
        <f t="shared" si="9"/>
        <v>1.9668896630391222E-3</v>
      </c>
    </row>
    <row r="509" spans="16:20">
      <c r="P509" s="2" t="s">
        <v>895</v>
      </c>
      <c r="Q509" s="2" t="s">
        <v>41</v>
      </c>
      <c r="R509" s="2" t="s">
        <v>1329</v>
      </c>
      <c r="S509" s="336">
        <v>223.3</v>
      </c>
      <c r="T509" s="11">
        <f t="shared" si="9"/>
        <v>1.721028455159232E-3</v>
      </c>
    </row>
    <row r="510" spans="16:20">
      <c r="P510" s="2" t="s">
        <v>896</v>
      </c>
      <c r="Q510" s="2" t="s">
        <v>41</v>
      </c>
      <c r="R510" s="2" t="s">
        <v>1329</v>
      </c>
      <c r="S510" s="336">
        <v>255.2</v>
      </c>
      <c r="T510" s="11">
        <f t="shared" si="9"/>
        <v>1.9668896630391222E-3</v>
      </c>
    </row>
    <row r="511" spans="16:20">
      <c r="P511" s="2" t="s">
        <v>897</v>
      </c>
      <c r="Q511" s="2" t="s">
        <v>41</v>
      </c>
      <c r="R511" s="2" t="s">
        <v>1329</v>
      </c>
      <c r="S511" s="336">
        <v>255.2</v>
      </c>
      <c r="T511" s="11">
        <f t="shared" si="9"/>
        <v>1.9668896630391222E-3</v>
      </c>
    </row>
    <row r="512" spans="16:20">
      <c r="P512" s="2" t="s">
        <v>898</v>
      </c>
      <c r="Q512" s="2" t="s">
        <v>41</v>
      </c>
      <c r="R512" s="2" t="s">
        <v>1329</v>
      </c>
      <c r="S512" s="336">
        <v>287.10000000000002</v>
      </c>
      <c r="T512" s="11">
        <f t="shared" si="9"/>
        <v>2.2127508709190126E-3</v>
      </c>
    </row>
    <row r="513" spans="16:20">
      <c r="P513" s="2" t="s">
        <v>899</v>
      </c>
      <c r="Q513" s="2" t="s">
        <v>41</v>
      </c>
      <c r="R513" s="2" t="s">
        <v>1329</v>
      </c>
      <c r="S513" s="336">
        <v>255.2</v>
      </c>
      <c r="T513" s="11">
        <f t="shared" si="9"/>
        <v>1.9668896630391222E-3</v>
      </c>
    </row>
    <row r="514" spans="16:20">
      <c r="P514" s="2" t="s">
        <v>900</v>
      </c>
      <c r="Q514" s="2" t="s">
        <v>41</v>
      </c>
      <c r="R514" s="2" t="s">
        <v>1329</v>
      </c>
      <c r="S514" s="336">
        <v>223.3</v>
      </c>
      <c r="T514" s="11">
        <f t="shared" si="9"/>
        <v>1.721028455159232E-3</v>
      </c>
    </row>
    <row r="515" spans="16:20">
      <c r="P515" s="2" t="s">
        <v>901</v>
      </c>
      <c r="Q515" s="2" t="s">
        <v>41</v>
      </c>
      <c r="R515" s="2" t="s">
        <v>1329</v>
      </c>
      <c r="S515" s="336">
        <v>223.3</v>
      </c>
      <c r="T515" s="11">
        <f t="shared" si="9"/>
        <v>1.721028455159232E-3</v>
      </c>
    </row>
    <row r="516" spans="16:20">
      <c r="P516" s="2" t="s">
        <v>902</v>
      </c>
      <c r="Q516" s="2" t="s">
        <v>41</v>
      </c>
      <c r="R516" s="2" t="s">
        <v>1329</v>
      </c>
      <c r="S516" s="336">
        <v>255.2</v>
      </c>
      <c r="T516" s="11">
        <f t="shared" si="9"/>
        <v>1.9668896630391222E-3</v>
      </c>
    </row>
    <row r="517" spans="16:20">
      <c r="P517" s="2" t="s">
        <v>903</v>
      </c>
      <c r="Q517" s="2" t="s">
        <v>41</v>
      </c>
      <c r="R517" s="2" t="s">
        <v>1329</v>
      </c>
      <c r="S517" s="336">
        <v>223.3</v>
      </c>
      <c r="T517" s="11">
        <f t="shared" si="9"/>
        <v>1.721028455159232E-3</v>
      </c>
    </row>
    <row r="518" spans="16:20">
      <c r="P518" s="2" t="s">
        <v>904</v>
      </c>
      <c r="Q518" s="2" t="s">
        <v>41</v>
      </c>
      <c r="R518" s="2" t="s">
        <v>1329</v>
      </c>
      <c r="S518" s="336">
        <v>223.3</v>
      </c>
      <c r="T518" s="11">
        <f t="shared" si="9"/>
        <v>1.721028455159232E-3</v>
      </c>
    </row>
    <row r="519" spans="16:20">
      <c r="P519" s="2" t="s">
        <v>905</v>
      </c>
      <c r="Q519" s="2" t="s">
        <v>41</v>
      </c>
      <c r="R519" s="2" t="s">
        <v>1329</v>
      </c>
      <c r="S519" s="336">
        <v>287.10000000000002</v>
      </c>
      <c r="T519" s="11">
        <f t="shared" si="9"/>
        <v>2.2127508709190126E-3</v>
      </c>
    </row>
    <row r="520" spans="16:20">
      <c r="P520" s="2" t="s">
        <v>906</v>
      </c>
      <c r="Q520" s="2" t="s">
        <v>41</v>
      </c>
      <c r="R520" s="2" t="s">
        <v>1329</v>
      </c>
      <c r="S520" s="336">
        <v>252.88</v>
      </c>
      <c r="T520" s="11">
        <f t="shared" si="9"/>
        <v>1.9490088479205848E-3</v>
      </c>
    </row>
    <row r="521" spans="16:20">
      <c r="P521" s="2" t="s">
        <v>907</v>
      </c>
      <c r="Q521" s="2" t="s">
        <v>41</v>
      </c>
      <c r="R521" s="2" t="s">
        <v>1329</v>
      </c>
      <c r="S521" s="336">
        <v>287.10000000000002</v>
      </c>
      <c r="T521" s="11">
        <f t="shared" si="9"/>
        <v>2.2127508709190126E-3</v>
      </c>
    </row>
    <row r="522" spans="16:20">
      <c r="P522" s="2" t="s">
        <v>908</v>
      </c>
      <c r="Q522" s="2" t="s">
        <v>41</v>
      </c>
      <c r="R522" s="2" t="s">
        <v>1329</v>
      </c>
      <c r="S522" s="336">
        <v>284.49</v>
      </c>
      <c r="T522" s="11">
        <f t="shared" si="9"/>
        <v>2.1926349539106581E-3</v>
      </c>
    </row>
    <row r="523" spans="16:20">
      <c r="P523" s="2" t="s">
        <v>909</v>
      </c>
      <c r="Q523" s="2" t="s">
        <v>41</v>
      </c>
      <c r="R523" s="2" t="s">
        <v>1329</v>
      </c>
      <c r="S523" s="336">
        <v>252.88</v>
      </c>
      <c r="T523" s="11">
        <f t="shared" si="9"/>
        <v>1.9490088479205848E-3</v>
      </c>
    </row>
    <row r="524" spans="16:20">
      <c r="P524" s="2" t="s">
        <v>910</v>
      </c>
      <c r="Q524" s="2" t="s">
        <v>41</v>
      </c>
      <c r="R524" s="2" t="s">
        <v>1329</v>
      </c>
      <c r="S524" s="336">
        <v>252.88</v>
      </c>
      <c r="T524" s="11">
        <f t="shared" si="9"/>
        <v>1.9490088479205848E-3</v>
      </c>
    </row>
    <row r="525" spans="16:20">
      <c r="P525" s="2" t="s">
        <v>911</v>
      </c>
      <c r="Q525" s="2" t="s">
        <v>41</v>
      </c>
      <c r="R525" s="2" t="s">
        <v>1329</v>
      </c>
      <c r="S525" s="336">
        <v>252.88</v>
      </c>
      <c r="T525" s="11">
        <f t="shared" si="9"/>
        <v>1.9490088479205848E-3</v>
      </c>
    </row>
    <row r="526" spans="16:20">
      <c r="P526" s="2" t="s">
        <v>912</v>
      </c>
      <c r="Q526" s="2" t="s">
        <v>41</v>
      </c>
      <c r="R526" s="2" t="s">
        <v>1329</v>
      </c>
      <c r="S526" s="336">
        <v>252.88</v>
      </c>
      <c r="T526" s="11">
        <f t="shared" si="9"/>
        <v>1.9490088479205848E-3</v>
      </c>
    </row>
    <row r="527" spans="16:20">
      <c r="P527" s="2" t="s">
        <v>913</v>
      </c>
      <c r="Q527" s="2" t="s">
        <v>41</v>
      </c>
      <c r="R527" s="2" t="s">
        <v>1329</v>
      </c>
      <c r="S527" s="336">
        <v>252.88</v>
      </c>
      <c r="T527" s="11">
        <f t="shared" si="9"/>
        <v>1.9490088479205848E-3</v>
      </c>
    </row>
    <row r="528" spans="16:20">
      <c r="P528" s="2" t="s">
        <v>914</v>
      </c>
      <c r="Q528" s="2" t="s">
        <v>41</v>
      </c>
      <c r="R528" s="2" t="s">
        <v>1329</v>
      </c>
      <c r="S528" s="336">
        <v>252.88</v>
      </c>
      <c r="T528" s="11">
        <f t="shared" si="9"/>
        <v>1.9490088479205848E-3</v>
      </c>
    </row>
    <row r="529" spans="16:20">
      <c r="P529" s="2" t="s">
        <v>915</v>
      </c>
      <c r="Q529" s="2" t="s">
        <v>41</v>
      </c>
      <c r="R529" s="2" t="s">
        <v>1329</v>
      </c>
      <c r="S529" s="1">
        <v>252.88</v>
      </c>
      <c r="T529" s="11">
        <f t="shared" si="9"/>
        <v>1.9490088479205848E-3</v>
      </c>
    </row>
    <row r="530" spans="16:20">
      <c r="P530" s="2" t="s">
        <v>916</v>
      </c>
      <c r="Q530" s="2" t="s">
        <v>41</v>
      </c>
      <c r="R530" s="2" t="s">
        <v>1329</v>
      </c>
      <c r="S530" s="1">
        <v>237.07499999999999</v>
      </c>
      <c r="T530" s="11">
        <f t="shared" si="9"/>
        <v>1.8271957949255481E-3</v>
      </c>
    </row>
    <row r="531" spans="16:20">
      <c r="P531" s="2" t="s">
        <v>917</v>
      </c>
      <c r="Q531" s="2" t="s">
        <v>41</v>
      </c>
      <c r="R531" s="2" t="s">
        <v>1329</v>
      </c>
      <c r="S531" s="1">
        <v>237.07499999999999</v>
      </c>
      <c r="T531" s="11">
        <f t="shared" si="9"/>
        <v>1.8271957949255481E-3</v>
      </c>
    </row>
    <row r="532" spans="16:20">
      <c r="P532" s="2" t="s">
        <v>918</v>
      </c>
      <c r="Q532" s="2" t="s">
        <v>41</v>
      </c>
      <c r="R532" s="2" t="s">
        <v>1329</v>
      </c>
      <c r="S532" s="1">
        <v>284.49</v>
      </c>
      <c r="T532" s="11">
        <f t="shared" si="9"/>
        <v>2.1926349539106581E-3</v>
      </c>
    </row>
    <row r="533" spans="16:20">
      <c r="P533" s="2" t="s">
        <v>919</v>
      </c>
      <c r="Q533" s="2" t="s">
        <v>41</v>
      </c>
      <c r="R533" s="2" t="s">
        <v>1329</v>
      </c>
      <c r="S533" s="1">
        <v>237.07499999999999</v>
      </c>
      <c r="T533" s="11">
        <f t="shared" si="9"/>
        <v>1.8271957949255481E-3</v>
      </c>
    </row>
    <row r="534" spans="16:20">
      <c r="P534" s="2" t="s">
        <v>920</v>
      </c>
      <c r="Q534" s="2" t="s">
        <v>41</v>
      </c>
      <c r="R534" s="2" t="s">
        <v>1329</v>
      </c>
      <c r="S534" s="1">
        <v>205.465</v>
      </c>
      <c r="T534" s="11">
        <f t="shared" si="9"/>
        <v>1.583569688935475E-3</v>
      </c>
    </row>
    <row r="535" spans="16:20">
      <c r="P535" s="2" t="s">
        <v>921</v>
      </c>
      <c r="Q535" s="2" t="s">
        <v>41</v>
      </c>
      <c r="R535" s="2" t="s">
        <v>1329</v>
      </c>
      <c r="S535" s="1">
        <v>189.66</v>
      </c>
      <c r="T535" s="11">
        <f t="shared" si="9"/>
        <v>1.4617566359404386E-3</v>
      </c>
    </row>
    <row r="536" spans="16:20">
      <c r="P536" s="2" t="s">
        <v>922</v>
      </c>
      <c r="Q536" s="2" t="s">
        <v>41</v>
      </c>
      <c r="R536" s="2" t="s">
        <v>1329</v>
      </c>
      <c r="S536" s="1">
        <v>252.88</v>
      </c>
      <c r="T536" s="11">
        <f t="shared" si="9"/>
        <v>1.9490088479205848E-3</v>
      </c>
    </row>
    <row r="537" spans="16:20">
      <c r="P537" s="2" t="s">
        <v>923</v>
      </c>
      <c r="Q537" s="2" t="s">
        <v>41</v>
      </c>
      <c r="R537" s="2" t="s">
        <v>1329</v>
      </c>
      <c r="S537" s="1">
        <v>221.27</v>
      </c>
      <c r="T537" s="11">
        <f t="shared" si="9"/>
        <v>1.7053827419305117E-3</v>
      </c>
    </row>
    <row r="538" spans="16:20">
      <c r="P538" s="2" t="s">
        <v>924</v>
      </c>
      <c r="Q538" s="2" t="s">
        <v>41</v>
      </c>
      <c r="R538" s="2" t="s">
        <v>1329</v>
      </c>
      <c r="S538" s="1">
        <v>205.465</v>
      </c>
      <c r="T538" s="11">
        <f t="shared" si="9"/>
        <v>1.583569688935475E-3</v>
      </c>
    </row>
    <row r="539" spans="16:20">
      <c r="P539" s="2" t="s">
        <v>925</v>
      </c>
      <c r="Q539" s="2" t="s">
        <v>41</v>
      </c>
      <c r="R539" s="2" t="s">
        <v>1329</v>
      </c>
      <c r="S539" s="1">
        <v>126.44</v>
      </c>
      <c r="T539" s="11">
        <f t="shared" si="9"/>
        <v>9.7450442396029239E-4</v>
      </c>
    </row>
    <row r="540" spans="16:20">
      <c r="P540" s="2" t="s">
        <v>926</v>
      </c>
      <c r="Q540" s="2" t="s">
        <v>41</v>
      </c>
      <c r="R540" s="2" t="s">
        <v>1329</v>
      </c>
      <c r="S540" s="1">
        <v>284.49</v>
      </c>
      <c r="T540" s="11">
        <f t="shared" si="9"/>
        <v>2.1926349539106581E-3</v>
      </c>
    </row>
    <row r="541" spans="16:20">
      <c r="P541" s="2" t="s">
        <v>927</v>
      </c>
      <c r="Q541" s="2" t="s">
        <v>41</v>
      </c>
      <c r="R541" s="2" t="s">
        <v>1329</v>
      </c>
      <c r="S541" s="1">
        <v>221.27</v>
      </c>
      <c r="T541" s="11">
        <f t="shared" si="9"/>
        <v>1.7053827419305117E-3</v>
      </c>
    </row>
    <row r="542" spans="16:20">
      <c r="P542" s="2" t="s">
        <v>928</v>
      </c>
      <c r="Q542" s="2" t="s">
        <v>41</v>
      </c>
      <c r="R542" s="2" t="s">
        <v>1329</v>
      </c>
      <c r="S542" s="1">
        <v>221.27</v>
      </c>
      <c r="T542" s="11">
        <f t="shared" ref="T542:T605" si="10">S542/$B$2</f>
        <v>1.7053827419305117E-3</v>
      </c>
    </row>
    <row r="543" spans="16:20">
      <c r="P543" s="2" t="s">
        <v>929</v>
      </c>
      <c r="Q543" s="2" t="s">
        <v>41</v>
      </c>
      <c r="R543" s="2" t="s">
        <v>1329</v>
      </c>
      <c r="S543" s="1">
        <v>221.27</v>
      </c>
      <c r="T543" s="11">
        <f t="shared" si="10"/>
        <v>1.7053827419305117E-3</v>
      </c>
    </row>
    <row r="544" spans="16:20">
      <c r="P544" s="2" t="s">
        <v>930</v>
      </c>
      <c r="Q544" s="2" t="s">
        <v>41</v>
      </c>
      <c r="R544" s="2" t="s">
        <v>1329</v>
      </c>
      <c r="S544" s="1">
        <v>252.88</v>
      </c>
      <c r="T544" s="11">
        <f t="shared" si="10"/>
        <v>1.9490088479205848E-3</v>
      </c>
    </row>
    <row r="545" spans="16:20">
      <c r="P545" s="2" t="s">
        <v>931</v>
      </c>
      <c r="Q545" s="2" t="s">
        <v>41</v>
      </c>
      <c r="R545" s="2" t="s">
        <v>1329</v>
      </c>
      <c r="S545" s="1">
        <v>189.66</v>
      </c>
      <c r="T545" s="11">
        <f t="shared" si="10"/>
        <v>1.4617566359404386E-3</v>
      </c>
    </row>
    <row r="546" spans="16:20">
      <c r="P546" s="2" t="s">
        <v>932</v>
      </c>
      <c r="Q546" s="2" t="s">
        <v>41</v>
      </c>
      <c r="R546" s="2" t="s">
        <v>1329</v>
      </c>
      <c r="S546" s="1">
        <v>252.88</v>
      </c>
      <c r="T546" s="11">
        <f t="shared" si="10"/>
        <v>1.9490088479205848E-3</v>
      </c>
    </row>
    <row r="547" spans="16:20">
      <c r="P547" s="2" t="s">
        <v>933</v>
      </c>
      <c r="Q547" s="2" t="s">
        <v>41</v>
      </c>
      <c r="R547" s="2" t="s">
        <v>1329</v>
      </c>
      <c r="S547" s="1">
        <v>252.88</v>
      </c>
      <c r="T547" s="11">
        <f t="shared" si="10"/>
        <v>1.9490088479205848E-3</v>
      </c>
    </row>
    <row r="548" spans="16:20">
      <c r="P548" s="2" t="s">
        <v>934</v>
      </c>
      <c r="Q548" s="2" t="s">
        <v>41</v>
      </c>
      <c r="R548" s="2" t="s">
        <v>1329</v>
      </c>
      <c r="S548" s="1">
        <v>221.27</v>
      </c>
      <c r="T548" s="11">
        <f t="shared" si="10"/>
        <v>1.7053827419305117E-3</v>
      </c>
    </row>
    <row r="549" spans="16:20">
      <c r="P549" s="2" t="s">
        <v>935</v>
      </c>
      <c r="Q549" s="2" t="s">
        <v>41</v>
      </c>
      <c r="R549" s="2" t="s">
        <v>1329</v>
      </c>
      <c r="S549" s="1">
        <v>221.27</v>
      </c>
      <c r="T549" s="11">
        <f t="shared" si="10"/>
        <v>1.7053827419305117E-3</v>
      </c>
    </row>
    <row r="550" spans="16:20">
      <c r="P550" s="2" t="s">
        <v>936</v>
      </c>
      <c r="Q550" s="2" t="s">
        <v>41</v>
      </c>
      <c r="R550" s="2" t="s">
        <v>1329</v>
      </c>
      <c r="S550" s="1">
        <v>221.27</v>
      </c>
      <c r="T550" s="11">
        <f t="shared" si="10"/>
        <v>1.7053827419305117E-3</v>
      </c>
    </row>
    <row r="551" spans="16:20">
      <c r="P551" s="2" t="s">
        <v>937</v>
      </c>
      <c r="Q551" s="2" t="s">
        <v>41</v>
      </c>
      <c r="R551" s="2" t="s">
        <v>1329</v>
      </c>
      <c r="S551" s="1">
        <v>221.27</v>
      </c>
      <c r="T551" s="11">
        <f t="shared" si="10"/>
        <v>1.7053827419305117E-3</v>
      </c>
    </row>
    <row r="552" spans="16:20">
      <c r="P552" s="2" t="s">
        <v>938</v>
      </c>
      <c r="Q552" s="2" t="s">
        <v>41</v>
      </c>
      <c r="R552" s="2" t="s">
        <v>1329</v>
      </c>
      <c r="S552" s="1">
        <v>252.88</v>
      </c>
      <c r="T552" s="11">
        <f t="shared" si="10"/>
        <v>1.9490088479205848E-3</v>
      </c>
    </row>
    <row r="553" spans="16:20">
      <c r="P553" s="2" t="s">
        <v>939</v>
      </c>
      <c r="Q553" s="2" t="s">
        <v>42</v>
      </c>
      <c r="R553" s="2" t="s">
        <v>1330</v>
      </c>
      <c r="S553" s="1">
        <v>6170.0400000000009</v>
      </c>
      <c r="T553" s="11">
        <f t="shared" si="10"/>
        <v>4.7554027807750421E-2</v>
      </c>
    </row>
    <row r="554" spans="16:20">
      <c r="P554" s="2" t="s">
        <v>940</v>
      </c>
      <c r="Q554" s="2" t="s">
        <v>43</v>
      </c>
      <c r="R554" s="2" t="s">
        <v>1331</v>
      </c>
      <c r="S554" s="1">
        <v>3413.8800000000006</v>
      </c>
      <c r="T554" s="11">
        <f t="shared" si="10"/>
        <v>2.6311619446927899E-2</v>
      </c>
    </row>
    <row r="555" spans="16:20">
      <c r="P555" s="2" t="s">
        <v>941</v>
      </c>
      <c r="Q555" s="2" t="s">
        <v>43</v>
      </c>
      <c r="R555" s="2" t="s">
        <v>1331</v>
      </c>
      <c r="S555" s="1">
        <v>3508.7100000000009</v>
      </c>
      <c r="T555" s="11">
        <f t="shared" si="10"/>
        <v>2.7042497764898119E-2</v>
      </c>
    </row>
    <row r="556" spans="16:20">
      <c r="P556" s="2" t="s">
        <v>942</v>
      </c>
      <c r="Q556" s="2" t="s">
        <v>41</v>
      </c>
      <c r="R556" s="2" t="s">
        <v>1329</v>
      </c>
      <c r="S556" s="1">
        <v>5837.9900000000007</v>
      </c>
      <c r="T556" s="11">
        <f t="shared" si="10"/>
        <v>4.4994836143909742E-2</v>
      </c>
    </row>
    <row r="557" spans="16:20">
      <c r="P557" s="2" t="s">
        <v>943</v>
      </c>
      <c r="Q557" s="2" t="s">
        <v>41</v>
      </c>
      <c r="R557" s="2" t="s">
        <v>1329</v>
      </c>
      <c r="S557" s="1">
        <v>4520.5199999999986</v>
      </c>
      <c r="T557" s="11">
        <f t="shared" si="10"/>
        <v>3.484076825847026E-2</v>
      </c>
    </row>
    <row r="558" spans="16:20">
      <c r="P558" s="2" t="s">
        <v>175</v>
      </c>
      <c r="Q558" s="2" t="s">
        <v>42</v>
      </c>
      <c r="R558" s="2" t="s">
        <v>1330</v>
      </c>
      <c r="S558" s="1">
        <v>1534.6799999999998</v>
      </c>
      <c r="T558" s="11">
        <f t="shared" si="10"/>
        <v>1.1828159200912538E-2</v>
      </c>
    </row>
    <row r="559" spans="16:20">
      <c r="P559" s="2" t="s">
        <v>176</v>
      </c>
      <c r="Q559" s="2" t="s">
        <v>42</v>
      </c>
      <c r="R559" s="2" t="s">
        <v>1330</v>
      </c>
      <c r="S559" s="1">
        <v>1456.38</v>
      </c>
      <c r="T559" s="11">
        <f t="shared" si="10"/>
        <v>1.1224681690661901E-2</v>
      </c>
    </row>
    <row r="560" spans="16:20">
      <c r="P560" s="2" t="s">
        <v>177</v>
      </c>
      <c r="Q560" s="2" t="s">
        <v>42</v>
      </c>
      <c r="R560" s="2" t="s">
        <v>1330</v>
      </c>
      <c r="S560" s="1">
        <v>1597.3199999999997</v>
      </c>
      <c r="T560" s="11">
        <f t="shared" si="10"/>
        <v>1.2310941209113049E-2</v>
      </c>
    </row>
    <row r="561" spans="16:20">
      <c r="P561" s="2" t="s">
        <v>178</v>
      </c>
      <c r="Q561" s="2" t="s">
        <v>42</v>
      </c>
      <c r="R561" s="2" t="s">
        <v>1330</v>
      </c>
      <c r="S561" s="1">
        <v>1581.66</v>
      </c>
      <c r="T561" s="11">
        <f t="shared" si="10"/>
        <v>1.2190245707062924E-2</v>
      </c>
    </row>
    <row r="562" spans="16:20">
      <c r="P562" s="2" t="s">
        <v>179</v>
      </c>
      <c r="Q562" s="2" t="s">
        <v>43</v>
      </c>
      <c r="R562" s="2" t="s">
        <v>1331</v>
      </c>
      <c r="S562" s="1">
        <v>1675.33</v>
      </c>
      <c r="T562" s="11">
        <f t="shared" si="10"/>
        <v>1.2912183617473873E-2</v>
      </c>
    </row>
    <row r="563" spans="16:20">
      <c r="P563" s="2" t="s">
        <v>180</v>
      </c>
      <c r="Q563" s="2" t="s">
        <v>43</v>
      </c>
      <c r="R563" s="2" t="s">
        <v>1331</v>
      </c>
      <c r="S563" s="1">
        <v>1738.5500000000002</v>
      </c>
      <c r="T563" s="11">
        <f t="shared" si="10"/>
        <v>1.3399435829454022E-2</v>
      </c>
    </row>
    <row r="564" spans="16:20">
      <c r="P564" s="2" t="s">
        <v>181</v>
      </c>
      <c r="Q564" s="2" t="s">
        <v>43</v>
      </c>
      <c r="R564" s="2" t="s">
        <v>1331</v>
      </c>
      <c r="S564" s="1">
        <v>1706.94</v>
      </c>
      <c r="T564" s="11">
        <f t="shared" si="10"/>
        <v>1.3155809723463948E-2</v>
      </c>
    </row>
    <row r="565" spans="16:20">
      <c r="P565" s="2" t="s">
        <v>182</v>
      </c>
      <c r="Q565" s="2" t="s">
        <v>43</v>
      </c>
      <c r="R565" s="2" t="s">
        <v>1331</v>
      </c>
      <c r="S565" s="1">
        <v>1801.77</v>
      </c>
      <c r="T565" s="11">
        <f t="shared" si="10"/>
        <v>1.3886688041434166E-2</v>
      </c>
    </row>
    <row r="566" spans="16:20">
      <c r="P566" s="2" t="s">
        <v>187</v>
      </c>
      <c r="Q566" s="2" t="s">
        <v>41</v>
      </c>
      <c r="R566" s="2" t="s">
        <v>1329</v>
      </c>
      <c r="S566" s="1">
        <v>1419.55</v>
      </c>
      <c r="T566" s="11">
        <f t="shared" si="10"/>
        <v>1.0940823750655117E-2</v>
      </c>
    </row>
    <row r="567" spans="16:20">
      <c r="P567" s="2" t="s">
        <v>188</v>
      </c>
      <c r="Q567" s="2" t="s">
        <v>41</v>
      </c>
      <c r="R567" s="2" t="s">
        <v>1329</v>
      </c>
      <c r="S567" s="1">
        <v>223.3</v>
      </c>
      <c r="T567" s="11">
        <f t="shared" si="10"/>
        <v>1.721028455159232E-3</v>
      </c>
    </row>
    <row r="568" spans="16:20">
      <c r="P568" s="2" t="s">
        <v>189</v>
      </c>
      <c r="Q568" s="2" t="s">
        <v>41</v>
      </c>
      <c r="R568" s="2" t="s">
        <v>1329</v>
      </c>
      <c r="S568" s="1">
        <v>1362.42</v>
      </c>
      <c r="T568" s="11">
        <f t="shared" si="10"/>
        <v>1.0500508678361133E-2</v>
      </c>
    </row>
    <row r="569" spans="16:20">
      <c r="P569" s="2" t="s">
        <v>190</v>
      </c>
      <c r="Q569" s="2" t="s">
        <v>41</v>
      </c>
      <c r="R569" s="2" t="s">
        <v>1329</v>
      </c>
      <c r="S569" s="1">
        <v>1515.25</v>
      </c>
      <c r="T569" s="11">
        <f t="shared" si="10"/>
        <v>1.1678407374294788E-2</v>
      </c>
    </row>
    <row r="570" spans="16:20">
      <c r="P570" s="2" t="s">
        <v>944</v>
      </c>
      <c r="Q570" s="2" t="s">
        <v>42</v>
      </c>
      <c r="R570" s="2" t="s">
        <v>1330</v>
      </c>
      <c r="S570" s="1">
        <v>250.56</v>
      </c>
      <c r="T570" s="11">
        <f t="shared" si="10"/>
        <v>1.9311280328020474E-3</v>
      </c>
    </row>
    <row r="571" spans="16:20">
      <c r="P571" s="2" t="s">
        <v>945</v>
      </c>
      <c r="Q571" s="2" t="s">
        <v>42</v>
      </c>
      <c r="R571" s="2" t="s">
        <v>1330</v>
      </c>
      <c r="S571" s="1">
        <v>250.56</v>
      </c>
      <c r="T571" s="11">
        <f t="shared" si="10"/>
        <v>1.9311280328020474E-3</v>
      </c>
    </row>
    <row r="572" spans="16:20">
      <c r="P572" s="2" t="s">
        <v>946</v>
      </c>
      <c r="Q572" s="2" t="s">
        <v>42</v>
      </c>
      <c r="R572" s="2" t="s">
        <v>1330</v>
      </c>
      <c r="S572" s="1">
        <v>281.88</v>
      </c>
      <c r="T572" s="11">
        <f t="shared" si="10"/>
        <v>2.1725190369023032E-3</v>
      </c>
    </row>
    <row r="573" spans="16:20">
      <c r="P573" s="2" t="s">
        <v>947</v>
      </c>
      <c r="Q573" s="2" t="s">
        <v>42</v>
      </c>
      <c r="R573" s="2" t="s">
        <v>1330</v>
      </c>
      <c r="S573" s="1">
        <v>250.56</v>
      </c>
      <c r="T573" s="11">
        <f t="shared" si="10"/>
        <v>1.9311280328020474E-3</v>
      </c>
    </row>
    <row r="574" spans="16:20">
      <c r="P574" s="2" t="s">
        <v>948</v>
      </c>
      <c r="Q574" s="2" t="s">
        <v>42</v>
      </c>
      <c r="R574" s="2" t="s">
        <v>1330</v>
      </c>
      <c r="S574" s="1">
        <v>250.56</v>
      </c>
      <c r="T574" s="11">
        <f t="shared" si="10"/>
        <v>1.9311280328020474E-3</v>
      </c>
    </row>
    <row r="575" spans="16:20">
      <c r="P575" s="2" t="s">
        <v>949</v>
      </c>
      <c r="Q575" s="2" t="s">
        <v>42</v>
      </c>
      <c r="R575" s="2" t="s">
        <v>1330</v>
      </c>
      <c r="S575" s="1">
        <v>250.56</v>
      </c>
      <c r="T575" s="11">
        <f t="shared" si="10"/>
        <v>1.9311280328020474E-3</v>
      </c>
    </row>
    <row r="576" spans="16:20">
      <c r="P576" s="2" t="s">
        <v>950</v>
      </c>
      <c r="Q576" s="2" t="s">
        <v>42</v>
      </c>
      <c r="R576" s="2" t="s">
        <v>1330</v>
      </c>
      <c r="S576" s="1">
        <v>250.56</v>
      </c>
      <c r="T576" s="11">
        <f t="shared" si="10"/>
        <v>1.9311280328020474E-3</v>
      </c>
    </row>
    <row r="577" spans="16:20">
      <c r="P577" s="2" t="s">
        <v>951</v>
      </c>
      <c r="Q577" s="2" t="s">
        <v>42</v>
      </c>
      <c r="R577" s="2" t="s">
        <v>1330</v>
      </c>
      <c r="S577" s="1">
        <v>250.56</v>
      </c>
      <c r="T577" s="11">
        <f t="shared" si="10"/>
        <v>1.9311280328020474E-3</v>
      </c>
    </row>
    <row r="578" spans="16:20">
      <c r="P578" s="2" t="s">
        <v>952</v>
      </c>
      <c r="Q578" s="2" t="s">
        <v>42</v>
      </c>
      <c r="R578" s="2" t="s">
        <v>1330</v>
      </c>
      <c r="S578" s="1">
        <v>219.24</v>
      </c>
      <c r="T578" s="11">
        <f t="shared" si="10"/>
        <v>1.6897370287017913E-3</v>
      </c>
    </row>
    <row r="579" spans="16:20">
      <c r="P579" s="2" t="s">
        <v>953</v>
      </c>
      <c r="Q579" s="2" t="s">
        <v>42</v>
      </c>
      <c r="R579" s="2" t="s">
        <v>1330</v>
      </c>
      <c r="S579" s="1">
        <v>203.58</v>
      </c>
      <c r="T579" s="11">
        <f t="shared" si="10"/>
        <v>1.5690415266516634E-3</v>
      </c>
    </row>
    <row r="580" spans="16:20">
      <c r="P580" s="2" t="s">
        <v>954</v>
      </c>
      <c r="Q580" s="2" t="s">
        <v>42</v>
      </c>
      <c r="R580" s="2" t="s">
        <v>1330</v>
      </c>
      <c r="S580" s="1">
        <v>250.56</v>
      </c>
      <c r="T580" s="11">
        <f t="shared" si="10"/>
        <v>1.9311280328020474E-3</v>
      </c>
    </row>
    <row r="581" spans="16:20">
      <c r="P581" s="2" t="s">
        <v>955</v>
      </c>
      <c r="Q581" s="2" t="s">
        <v>42</v>
      </c>
      <c r="R581" s="2" t="s">
        <v>1330</v>
      </c>
      <c r="S581" s="1">
        <v>281.88</v>
      </c>
      <c r="T581" s="11">
        <f t="shared" si="10"/>
        <v>2.1725190369023032E-3</v>
      </c>
    </row>
    <row r="582" spans="16:20">
      <c r="P582" s="2" t="s">
        <v>956</v>
      </c>
      <c r="Q582" s="2" t="s">
        <v>42</v>
      </c>
      <c r="R582" s="2" t="s">
        <v>1330</v>
      </c>
      <c r="S582" s="1">
        <v>281.88</v>
      </c>
      <c r="T582" s="11">
        <f t="shared" si="10"/>
        <v>2.1725190369023032E-3</v>
      </c>
    </row>
    <row r="583" spans="16:20">
      <c r="P583" s="2" t="s">
        <v>957</v>
      </c>
      <c r="Q583" s="2" t="s">
        <v>42</v>
      </c>
      <c r="R583" s="2" t="s">
        <v>1330</v>
      </c>
      <c r="S583" s="1">
        <v>281.88</v>
      </c>
      <c r="T583" s="11">
        <f t="shared" si="10"/>
        <v>2.1725190369023032E-3</v>
      </c>
    </row>
    <row r="584" spans="16:20">
      <c r="P584" s="2" t="s">
        <v>958</v>
      </c>
      <c r="Q584" s="2" t="s">
        <v>42</v>
      </c>
      <c r="R584" s="2" t="s">
        <v>1330</v>
      </c>
      <c r="S584" s="1">
        <v>250.56</v>
      </c>
      <c r="T584" s="11">
        <f t="shared" si="10"/>
        <v>1.9311280328020474E-3</v>
      </c>
    </row>
    <row r="585" spans="16:20">
      <c r="P585" s="2" t="s">
        <v>959</v>
      </c>
      <c r="Q585" s="2" t="s">
        <v>42</v>
      </c>
      <c r="R585" s="2" t="s">
        <v>1330</v>
      </c>
      <c r="S585" s="1">
        <v>250.56</v>
      </c>
      <c r="T585" s="11">
        <f t="shared" si="10"/>
        <v>1.9311280328020474E-3</v>
      </c>
    </row>
    <row r="586" spans="16:20">
      <c r="P586" s="2" t="s">
        <v>960</v>
      </c>
      <c r="Q586" s="2" t="s">
        <v>42</v>
      </c>
      <c r="R586" s="2" t="s">
        <v>1330</v>
      </c>
      <c r="S586" s="1">
        <v>281.88</v>
      </c>
      <c r="T586" s="11">
        <f t="shared" si="10"/>
        <v>2.1725190369023032E-3</v>
      </c>
    </row>
    <row r="587" spans="16:20">
      <c r="P587" s="2" t="s">
        <v>961</v>
      </c>
      <c r="Q587" s="2" t="s">
        <v>42</v>
      </c>
      <c r="R587" s="2" t="s">
        <v>1330</v>
      </c>
      <c r="S587" s="1">
        <v>250.56</v>
      </c>
      <c r="T587" s="11">
        <f t="shared" si="10"/>
        <v>1.9311280328020474E-3</v>
      </c>
    </row>
    <row r="588" spans="16:20">
      <c r="P588" s="2" t="s">
        <v>962</v>
      </c>
      <c r="Q588" s="2" t="s">
        <v>42</v>
      </c>
      <c r="R588" s="2" t="s">
        <v>1330</v>
      </c>
      <c r="S588" s="1">
        <v>281.88</v>
      </c>
      <c r="T588" s="11">
        <f t="shared" si="10"/>
        <v>2.1725190369023032E-3</v>
      </c>
    </row>
    <row r="589" spans="16:20">
      <c r="P589" s="2" t="s">
        <v>963</v>
      </c>
      <c r="Q589" s="2" t="s">
        <v>42</v>
      </c>
      <c r="R589" s="2" t="s">
        <v>1330</v>
      </c>
      <c r="S589" s="1">
        <v>281.88</v>
      </c>
      <c r="T589" s="11">
        <f t="shared" si="10"/>
        <v>2.1725190369023032E-3</v>
      </c>
    </row>
    <row r="590" spans="16:20">
      <c r="P590" s="2" t="s">
        <v>964</v>
      </c>
      <c r="Q590" s="2" t="s">
        <v>42</v>
      </c>
      <c r="R590" s="2" t="s">
        <v>1330</v>
      </c>
      <c r="S590" s="1">
        <v>266.22000000000003</v>
      </c>
      <c r="T590" s="11">
        <f t="shared" si="10"/>
        <v>2.0518235348521755E-3</v>
      </c>
    </row>
    <row r="591" spans="16:20">
      <c r="P591" s="2" t="s">
        <v>965</v>
      </c>
      <c r="Q591" s="2" t="s">
        <v>42</v>
      </c>
      <c r="R591" s="2" t="s">
        <v>1330</v>
      </c>
      <c r="S591" s="1">
        <v>281.88</v>
      </c>
      <c r="T591" s="11">
        <f t="shared" si="10"/>
        <v>2.1725190369023032E-3</v>
      </c>
    </row>
    <row r="592" spans="16:20">
      <c r="P592" s="2" t="s">
        <v>966</v>
      </c>
      <c r="Q592" s="2" t="s">
        <v>42</v>
      </c>
      <c r="R592" s="2" t="s">
        <v>1330</v>
      </c>
      <c r="S592" s="1">
        <v>250.56</v>
      </c>
      <c r="T592" s="11">
        <f t="shared" si="10"/>
        <v>1.9311280328020474E-3</v>
      </c>
    </row>
    <row r="593" spans="16:20">
      <c r="P593" s="2" t="s">
        <v>967</v>
      </c>
      <c r="Q593" s="2" t="s">
        <v>42</v>
      </c>
      <c r="R593" s="2" t="s">
        <v>1330</v>
      </c>
      <c r="S593" s="1">
        <v>219.24</v>
      </c>
      <c r="T593" s="11">
        <f t="shared" si="10"/>
        <v>1.6897370287017913E-3</v>
      </c>
    </row>
    <row r="594" spans="16:20">
      <c r="P594" s="2" t="s">
        <v>968</v>
      </c>
      <c r="Q594" s="2" t="s">
        <v>43</v>
      </c>
      <c r="R594" s="2" t="s">
        <v>1331</v>
      </c>
      <c r="S594" s="1">
        <v>252.88</v>
      </c>
      <c r="T594" s="11">
        <f t="shared" si="10"/>
        <v>1.9490088479205848E-3</v>
      </c>
    </row>
    <row r="595" spans="16:20">
      <c r="P595" s="2" t="s">
        <v>969</v>
      </c>
      <c r="Q595" s="2" t="s">
        <v>43</v>
      </c>
      <c r="R595" s="2" t="s">
        <v>1331</v>
      </c>
      <c r="S595" s="1">
        <v>221.27</v>
      </c>
      <c r="T595" s="11">
        <f t="shared" si="10"/>
        <v>1.7053827419305117E-3</v>
      </c>
    </row>
    <row r="596" spans="16:20">
      <c r="P596" s="2" t="s">
        <v>970</v>
      </c>
      <c r="Q596" s="2" t="s">
        <v>43</v>
      </c>
      <c r="R596" s="2" t="s">
        <v>1331</v>
      </c>
      <c r="S596" s="1">
        <v>252.88</v>
      </c>
      <c r="T596" s="11">
        <f t="shared" si="10"/>
        <v>1.9490088479205848E-3</v>
      </c>
    </row>
    <row r="597" spans="16:20">
      <c r="P597" s="2" t="s">
        <v>971</v>
      </c>
      <c r="Q597" s="2" t="s">
        <v>43</v>
      </c>
      <c r="R597" s="2" t="s">
        <v>1331</v>
      </c>
      <c r="S597" s="1">
        <v>252.88</v>
      </c>
      <c r="T597" s="11">
        <f t="shared" si="10"/>
        <v>1.9490088479205848E-3</v>
      </c>
    </row>
    <row r="598" spans="16:20">
      <c r="P598" s="2" t="s">
        <v>972</v>
      </c>
      <c r="Q598" s="2" t="s">
        <v>43</v>
      </c>
      <c r="R598" s="2" t="s">
        <v>1331</v>
      </c>
      <c r="S598" s="1">
        <v>252.88</v>
      </c>
      <c r="T598" s="11">
        <f t="shared" si="10"/>
        <v>1.9490088479205848E-3</v>
      </c>
    </row>
    <row r="599" spans="16:20">
      <c r="P599" s="2" t="s">
        <v>973</v>
      </c>
      <c r="Q599" s="2" t="s">
        <v>43</v>
      </c>
      <c r="R599" s="2" t="s">
        <v>1331</v>
      </c>
      <c r="S599" s="1">
        <v>221.27</v>
      </c>
      <c r="T599" s="11">
        <f t="shared" si="10"/>
        <v>1.7053827419305117E-3</v>
      </c>
    </row>
    <row r="600" spans="16:20">
      <c r="P600" s="2" t="s">
        <v>974</v>
      </c>
      <c r="Q600" s="2" t="s">
        <v>43</v>
      </c>
      <c r="R600" s="2" t="s">
        <v>1331</v>
      </c>
      <c r="S600" s="1">
        <v>221.27</v>
      </c>
      <c r="T600" s="11">
        <f t="shared" si="10"/>
        <v>1.7053827419305117E-3</v>
      </c>
    </row>
    <row r="601" spans="16:20">
      <c r="P601" s="2" t="s">
        <v>975</v>
      </c>
      <c r="Q601" s="2" t="s">
        <v>43</v>
      </c>
      <c r="R601" s="2" t="s">
        <v>1331</v>
      </c>
      <c r="S601" s="1">
        <v>221.27</v>
      </c>
      <c r="T601" s="11">
        <f t="shared" si="10"/>
        <v>1.7053827419305117E-3</v>
      </c>
    </row>
    <row r="602" spans="16:20">
      <c r="P602" s="2" t="s">
        <v>976</v>
      </c>
      <c r="Q602" s="2" t="s">
        <v>43</v>
      </c>
      <c r="R602" s="2" t="s">
        <v>1331</v>
      </c>
      <c r="S602" s="1">
        <v>252.88</v>
      </c>
      <c r="T602" s="11">
        <f t="shared" si="10"/>
        <v>1.9490088479205848E-3</v>
      </c>
    </row>
    <row r="603" spans="16:20">
      <c r="P603" s="2" t="s">
        <v>977</v>
      </c>
      <c r="Q603" s="2" t="s">
        <v>43</v>
      </c>
      <c r="R603" s="2" t="s">
        <v>1331</v>
      </c>
      <c r="S603" s="1">
        <v>252.88</v>
      </c>
      <c r="T603" s="11">
        <f t="shared" si="10"/>
        <v>1.9490088479205848E-3</v>
      </c>
    </row>
    <row r="604" spans="16:20">
      <c r="P604" s="2" t="s">
        <v>978</v>
      </c>
      <c r="Q604" s="2" t="s">
        <v>43</v>
      </c>
      <c r="R604" s="2" t="s">
        <v>1331</v>
      </c>
      <c r="S604" s="1">
        <v>268.685</v>
      </c>
      <c r="T604" s="11">
        <f t="shared" si="10"/>
        <v>2.0708219009156212E-3</v>
      </c>
    </row>
    <row r="605" spans="16:20">
      <c r="P605" s="2" t="s">
        <v>979</v>
      </c>
      <c r="Q605" s="2" t="s">
        <v>43</v>
      </c>
      <c r="R605" s="2" t="s">
        <v>1331</v>
      </c>
      <c r="S605" s="1">
        <v>237.07499999999999</v>
      </c>
      <c r="T605" s="11">
        <f t="shared" si="10"/>
        <v>1.8271957949255481E-3</v>
      </c>
    </row>
    <row r="606" spans="16:20">
      <c r="P606" s="2" t="s">
        <v>980</v>
      </c>
      <c r="Q606" s="2" t="s">
        <v>43</v>
      </c>
      <c r="R606" s="2" t="s">
        <v>1331</v>
      </c>
      <c r="S606" s="1">
        <v>252.88</v>
      </c>
      <c r="T606" s="11">
        <f t="shared" ref="T606:T687" si="11">S606/$B$2</f>
        <v>1.9490088479205848E-3</v>
      </c>
    </row>
    <row r="607" spans="16:20">
      <c r="P607" s="2" t="s">
        <v>981</v>
      </c>
      <c r="Q607" s="2" t="s">
        <v>43</v>
      </c>
      <c r="R607" s="2" t="s">
        <v>1331</v>
      </c>
      <c r="S607" s="1">
        <v>221.27</v>
      </c>
      <c r="T607" s="11">
        <f t="shared" si="11"/>
        <v>1.7053827419305117E-3</v>
      </c>
    </row>
    <row r="608" spans="16:20">
      <c r="P608" s="2" t="s">
        <v>982</v>
      </c>
      <c r="Q608" s="2" t="s">
        <v>43</v>
      </c>
      <c r="R608" s="2" t="s">
        <v>1331</v>
      </c>
      <c r="S608" s="1">
        <v>252.88</v>
      </c>
      <c r="T608" s="11">
        <f t="shared" si="11"/>
        <v>1.9490088479205848E-3</v>
      </c>
    </row>
    <row r="609" spans="16:20">
      <c r="P609" s="2" t="s">
        <v>983</v>
      </c>
      <c r="Q609" s="2" t="s">
        <v>43</v>
      </c>
      <c r="R609" s="2" t="s">
        <v>1331</v>
      </c>
      <c r="S609" s="1">
        <v>252.88</v>
      </c>
      <c r="T609" s="11">
        <f t="shared" si="11"/>
        <v>1.9490088479205848E-3</v>
      </c>
    </row>
    <row r="610" spans="16:20">
      <c r="P610" s="2" t="s">
        <v>984</v>
      </c>
      <c r="Q610" s="2" t="s">
        <v>43</v>
      </c>
      <c r="R610" s="2" t="s">
        <v>1331</v>
      </c>
      <c r="S610" s="1">
        <v>252.88</v>
      </c>
      <c r="T610" s="11">
        <f t="shared" si="11"/>
        <v>1.9490088479205848E-3</v>
      </c>
    </row>
    <row r="611" spans="16:20">
      <c r="P611" s="2" t="s">
        <v>985</v>
      </c>
      <c r="Q611" s="2" t="s">
        <v>43</v>
      </c>
      <c r="R611" s="2" t="s">
        <v>1331</v>
      </c>
      <c r="S611" s="1">
        <v>252.88</v>
      </c>
      <c r="T611" s="11">
        <f t="shared" si="11"/>
        <v>1.9490088479205848E-3</v>
      </c>
    </row>
    <row r="612" spans="16:20">
      <c r="P612" s="2" t="s">
        <v>986</v>
      </c>
      <c r="Q612" s="2" t="s">
        <v>43</v>
      </c>
      <c r="R612" s="2" t="s">
        <v>1331</v>
      </c>
      <c r="S612" s="1">
        <v>252.88</v>
      </c>
      <c r="T612" s="11">
        <f t="shared" si="11"/>
        <v>1.9490088479205848E-3</v>
      </c>
    </row>
    <row r="613" spans="16:20">
      <c r="P613" s="2" t="s">
        <v>987</v>
      </c>
      <c r="Q613" s="2" t="s">
        <v>43</v>
      </c>
      <c r="R613" s="2" t="s">
        <v>1331</v>
      </c>
      <c r="S613" s="1">
        <v>221.27</v>
      </c>
      <c r="T613" s="11">
        <f t="shared" si="11"/>
        <v>1.7053827419305117E-3</v>
      </c>
    </row>
    <row r="614" spans="16:20">
      <c r="P614" s="2" t="s">
        <v>988</v>
      </c>
      <c r="Q614" s="2" t="s">
        <v>43</v>
      </c>
      <c r="R614" s="2" t="s">
        <v>1331</v>
      </c>
      <c r="S614" s="1">
        <v>252.88</v>
      </c>
      <c r="T614" s="11">
        <f t="shared" si="11"/>
        <v>1.9490088479205848E-3</v>
      </c>
    </row>
    <row r="615" spans="16:20">
      <c r="P615" s="2" t="s">
        <v>989</v>
      </c>
      <c r="Q615" s="2" t="s">
        <v>43</v>
      </c>
      <c r="R615" s="2" t="s">
        <v>1331</v>
      </c>
      <c r="S615" s="1">
        <v>252.88</v>
      </c>
      <c r="T615" s="11">
        <f t="shared" si="11"/>
        <v>1.9490088479205848E-3</v>
      </c>
    </row>
    <row r="616" spans="16:20">
      <c r="P616" s="2" t="s">
        <v>990</v>
      </c>
      <c r="Q616" s="2" t="s">
        <v>43</v>
      </c>
      <c r="R616" s="2" t="s">
        <v>1331</v>
      </c>
      <c r="S616" s="1">
        <v>252.88</v>
      </c>
      <c r="T616" s="11">
        <f t="shared" si="11"/>
        <v>1.9490088479205848E-3</v>
      </c>
    </row>
    <row r="617" spans="16:20">
      <c r="P617" s="2" t="s">
        <v>991</v>
      </c>
      <c r="Q617" s="2" t="s">
        <v>43</v>
      </c>
      <c r="R617" s="2" t="s">
        <v>1331</v>
      </c>
      <c r="S617" s="1">
        <v>252.88</v>
      </c>
      <c r="T617" s="11">
        <f t="shared" si="11"/>
        <v>1.9490088479205848E-3</v>
      </c>
    </row>
    <row r="618" spans="16:20">
      <c r="P618" s="2" t="s">
        <v>992</v>
      </c>
      <c r="Q618" s="2" t="s">
        <v>43</v>
      </c>
      <c r="R618" s="2" t="s">
        <v>1331</v>
      </c>
      <c r="S618" s="1">
        <v>252.88</v>
      </c>
      <c r="T618" s="11">
        <f t="shared" si="11"/>
        <v>1.9490088479205848E-3</v>
      </c>
    </row>
    <row r="619" spans="16:20">
      <c r="P619" s="2" t="s">
        <v>993</v>
      </c>
      <c r="Q619" s="2" t="s">
        <v>43</v>
      </c>
      <c r="R619" s="2" t="s">
        <v>1331</v>
      </c>
      <c r="S619" s="1">
        <v>284.49</v>
      </c>
      <c r="T619" s="11">
        <f t="shared" si="11"/>
        <v>2.1926349539106581E-3</v>
      </c>
    </row>
    <row r="620" spans="16:20">
      <c r="P620" s="2" t="s">
        <v>994</v>
      </c>
      <c r="Q620" s="2" t="s">
        <v>43</v>
      </c>
      <c r="R620" s="2" t="s">
        <v>1331</v>
      </c>
      <c r="S620" s="1">
        <v>252.88</v>
      </c>
      <c r="T620" s="11">
        <f t="shared" si="11"/>
        <v>1.9490088479205848E-3</v>
      </c>
    </row>
    <row r="621" spans="16:20">
      <c r="P621" s="2" t="s">
        <v>995</v>
      </c>
      <c r="Q621" s="2" t="s">
        <v>43</v>
      </c>
      <c r="R621" s="2" t="s">
        <v>1331</v>
      </c>
      <c r="S621" s="1">
        <v>252.88</v>
      </c>
      <c r="T621" s="11">
        <f t="shared" si="11"/>
        <v>1.9490088479205848E-3</v>
      </c>
    </row>
    <row r="622" spans="16:20">
      <c r="P622" s="2" t="s">
        <v>996</v>
      </c>
      <c r="Q622" s="2" t="s">
        <v>41</v>
      </c>
      <c r="R622" s="2" t="s">
        <v>1329</v>
      </c>
      <c r="S622" s="1">
        <v>239.25</v>
      </c>
      <c r="T622" s="11">
        <f t="shared" si="11"/>
        <v>1.843959059099177E-3</v>
      </c>
    </row>
    <row r="623" spans="16:20">
      <c r="P623" s="2" t="s">
        <v>997</v>
      </c>
      <c r="Q623" s="2" t="s">
        <v>41</v>
      </c>
      <c r="R623" s="2" t="s">
        <v>1329</v>
      </c>
      <c r="S623" s="1">
        <v>255.2</v>
      </c>
      <c r="T623" s="11">
        <f t="shared" si="11"/>
        <v>1.9668896630391222E-3</v>
      </c>
    </row>
    <row r="624" spans="16:20">
      <c r="P624" s="2" t="s">
        <v>998</v>
      </c>
      <c r="Q624" s="2" t="s">
        <v>41</v>
      </c>
      <c r="R624" s="2" t="s">
        <v>1329</v>
      </c>
      <c r="S624" s="1">
        <v>207.35</v>
      </c>
      <c r="T624" s="11">
        <f t="shared" si="11"/>
        <v>1.5980978512192868E-3</v>
      </c>
    </row>
    <row r="625" spans="16:20">
      <c r="P625" s="2" t="s">
        <v>999</v>
      </c>
      <c r="Q625" s="2" t="s">
        <v>41</v>
      </c>
      <c r="R625" s="2" t="s">
        <v>1329</v>
      </c>
      <c r="S625" s="1">
        <v>239.25</v>
      </c>
      <c r="T625" s="11">
        <f t="shared" si="11"/>
        <v>1.843959059099177E-3</v>
      </c>
    </row>
    <row r="626" spans="16:20">
      <c r="P626" s="2" t="s">
        <v>1000</v>
      </c>
      <c r="Q626" s="2" t="s">
        <v>41</v>
      </c>
      <c r="R626" s="2" t="s">
        <v>1329</v>
      </c>
      <c r="S626" s="1">
        <v>223.3</v>
      </c>
      <c r="T626" s="11">
        <f t="shared" si="11"/>
        <v>1.721028455159232E-3</v>
      </c>
    </row>
    <row r="627" spans="16:20">
      <c r="P627" s="2" t="s">
        <v>1001</v>
      </c>
      <c r="Q627" s="2" t="s">
        <v>41</v>
      </c>
      <c r="R627" s="2" t="s">
        <v>1329</v>
      </c>
      <c r="S627" s="1">
        <v>255.2</v>
      </c>
      <c r="T627" s="11">
        <f t="shared" si="11"/>
        <v>1.9668896630391222E-3</v>
      </c>
    </row>
    <row r="628" spans="16:20">
      <c r="P628" s="2" t="s">
        <v>1002</v>
      </c>
      <c r="Q628" s="2" t="s">
        <v>41</v>
      </c>
      <c r="R628" s="2" t="s">
        <v>1329</v>
      </c>
      <c r="S628" s="1">
        <v>223.3</v>
      </c>
      <c r="T628" s="11">
        <f t="shared" si="11"/>
        <v>1.721028455159232E-3</v>
      </c>
    </row>
    <row r="629" spans="16:20">
      <c r="P629" s="2" t="s">
        <v>1003</v>
      </c>
      <c r="Q629" s="2" t="s">
        <v>41</v>
      </c>
      <c r="R629" s="2" t="s">
        <v>1329</v>
      </c>
      <c r="S629" s="1">
        <v>0</v>
      </c>
      <c r="T629" s="11">
        <f t="shared" si="11"/>
        <v>0</v>
      </c>
    </row>
    <row r="630" spans="16:20">
      <c r="P630" s="2" t="s">
        <v>1004</v>
      </c>
      <c r="Q630" s="2" t="s">
        <v>41</v>
      </c>
      <c r="R630" s="2" t="s">
        <v>1329</v>
      </c>
      <c r="S630" s="1">
        <v>0</v>
      </c>
      <c r="T630" s="11">
        <f t="shared" si="11"/>
        <v>0</v>
      </c>
    </row>
    <row r="631" spans="16:20">
      <c r="P631" s="2" t="s">
        <v>1005</v>
      </c>
      <c r="Q631" s="2" t="s">
        <v>41</v>
      </c>
      <c r="R631" s="2" t="s">
        <v>1329</v>
      </c>
      <c r="S631" s="1">
        <v>0</v>
      </c>
      <c r="T631" s="11">
        <f t="shared" si="11"/>
        <v>0</v>
      </c>
    </row>
    <row r="632" spans="16:20">
      <c r="P632" s="2" t="s">
        <v>1006</v>
      </c>
      <c r="Q632" s="2" t="s">
        <v>41</v>
      </c>
      <c r="R632" s="2" t="s">
        <v>1329</v>
      </c>
      <c r="S632" s="1">
        <v>0</v>
      </c>
      <c r="T632" s="11">
        <f t="shared" si="11"/>
        <v>0</v>
      </c>
    </row>
    <row r="633" spans="16:20">
      <c r="P633" s="2" t="s">
        <v>1007</v>
      </c>
      <c r="Q633" s="2" t="s">
        <v>41</v>
      </c>
      <c r="R633" s="2" t="s">
        <v>1329</v>
      </c>
      <c r="S633" s="1">
        <v>0</v>
      </c>
      <c r="T633" s="11">
        <f t="shared" si="11"/>
        <v>0</v>
      </c>
    </row>
    <row r="634" spans="16:20">
      <c r="P634" s="2" t="s">
        <v>1008</v>
      </c>
      <c r="Q634" s="2" t="s">
        <v>41</v>
      </c>
      <c r="R634" s="2" t="s">
        <v>1329</v>
      </c>
      <c r="S634" s="1">
        <v>250.56</v>
      </c>
      <c r="T634" s="11">
        <f t="shared" si="11"/>
        <v>1.9311280328020474E-3</v>
      </c>
    </row>
    <row r="635" spans="16:20">
      <c r="P635" s="2" t="s">
        <v>1009</v>
      </c>
      <c r="Q635" s="2" t="s">
        <v>41</v>
      </c>
      <c r="R635" s="2" t="s">
        <v>1329</v>
      </c>
      <c r="S635" s="1">
        <v>219.24</v>
      </c>
      <c r="T635" s="11">
        <f t="shared" si="11"/>
        <v>1.6897370287017913E-3</v>
      </c>
    </row>
    <row r="636" spans="16:20">
      <c r="P636" s="2" t="s">
        <v>1010</v>
      </c>
      <c r="Q636" s="2" t="s">
        <v>41</v>
      </c>
      <c r="R636" s="2" t="s">
        <v>1329</v>
      </c>
      <c r="S636" s="1">
        <v>219.24</v>
      </c>
      <c r="T636" s="11">
        <f t="shared" si="11"/>
        <v>1.6897370287017913E-3</v>
      </c>
    </row>
    <row r="637" spans="16:20">
      <c r="P637" s="2" t="s">
        <v>1011</v>
      </c>
      <c r="Q637" s="2" t="s">
        <v>41</v>
      </c>
      <c r="R637" s="2" t="s">
        <v>1329</v>
      </c>
      <c r="S637" s="1">
        <v>219.24</v>
      </c>
      <c r="T637" s="11">
        <f t="shared" si="11"/>
        <v>1.6897370287017913E-3</v>
      </c>
    </row>
    <row r="638" spans="16:20">
      <c r="P638" s="2" t="s">
        <v>1012</v>
      </c>
      <c r="Q638" s="2" t="s">
        <v>41</v>
      </c>
      <c r="R638" s="2" t="s">
        <v>1329</v>
      </c>
      <c r="S638" s="1">
        <v>219.24</v>
      </c>
      <c r="T638" s="11">
        <f t="shared" si="11"/>
        <v>1.6897370287017913E-3</v>
      </c>
    </row>
    <row r="639" spans="16:20">
      <c r="P639" s="2" t="s">
        <v>1013</v>
      </c>
      <c r="Q639" s="2" t="s">
        <v>41</v>
      </c>
      <c r="R639" s="2" t="s">
        <v>1329</v>
      </c>
      <c r="S639" s="1">
        <v>234.9</v>
      </c>
      <c r="T639" s="11">
        <f t="shared" si="11"/>
        <v>1.8104325307519193E-3</v>
      </c>
    </row>
    <row r="640" spans="16:20">
      <c r="P640" s="2" t="s">
        <v>1014</v>
      </c>
      <c r="Q640" s="2" t="s">
        <v>41</v>
      </c>
      <c r="R640" s="2" t="s">
        <v>1329</v>
      </c>
      <c r="S640" s="1">
        <v>239.25</v>
      </c>
      <c r="T640" s="11">
        <f t="shared" si="11"/>
        <v>1.843959059099177E-3</v>
      </c>
    </row>
    <row r="641" spans="16:20">
      <c r="P641" s="2" t="s">
        <v>1015</v>
      </c>
      <c r="Q641" s="2" t="s">
        <v>41</v>
      </c>
      <c r="R641" s="2" t="s">
        <v>1329</v>
      </c>
      <c r="S641" s="1">
        <v>223.3</v>
      </c>
      <c r="T641" s="11">
        <f t="shared" si="11"/>
        <v>1.721028455159232E-3</v>
      </c>
    </row>
    <row r="642" spans="16:20">
      <c r="P642" s="2" t="s">
        <v>1016</v>
      </c>
      <c r="Q642" s="2" t="s">
        <v>41</v>
      </c>
      <c r="R642" s="2" t="s">
        <v>1329</v>
      </c>
      <c r="S642" s="1">
        <v>255.2</v>
      </c>
      <c r="T642" s="11">
        <f t="shared" si="11"/>
        <v>1.9668896630391222E-3</v>
      </c>
    </row>
    <row r="643" spans="16:20">
      <c r="P643" s="2" t="s">
        <v>1017</v>
      </c>
      <c r="Q643" s="2" t="s">
        <v>41</v>
      </c>
      <c r="R643" s="2" t="s">
        <v>1329</v>
      </c>
      <c r="S643" s="1">
        <v>255.2</v>
      </c>
      <c r="T643" s="11">
        <f t="shared" si="11"/>
        <v>1.9668896630391222E-3</v>
      </c>
    </row>
    <row r="644" spans="16:20">
      <c r="P644" s="2" t="s">
        <v>1018</v>
      </c>
      <c r="Q644" s="2" t="s">
        <v>41</v>
      </c>
      <c r="R644" s="2" t="s">
        <v>1329</v>
      </c>
      <c r="S644" s="1">
        <v>271.14999999999998</v>
      </c>
      <c r="T644" s="11">
        <f t="shared" si="11"/>
        <v>2.0898202669790674E-3</v>
      </c>
    </row>
    <row r="645" spans="16:20">
      <c r="P645" s="2" t="s">
        <v>1019</v>
      </c>
      <c r="Q645" s="2" t="s">
        <v>41</v>
      </c>
      <c r="R645" s="2" t="s">
        <v>1329</v>
      </c>
      <c r="S645" s="1">
        <v>271.14999999999998</v>
      </c>
      <c r="T645" s="11">
        <f t="shared" si="11"/>
        <v>2.0898202669790674E-3</v>
      </c>
    </row>
    <row r="646" spans="16:20">
      <c r="P646" s="2" t="s">
        <v>1266</v>
      </c>
      <c r="Q646" s="2" t="s">
        <v>41</v>
      </c>
      <c r="R646" s="2" t="s">
        <v>1329</v>
      </c>
      <c r="S646" s="336">
        <v>17236.584999999999</v>
      </c>
      <c r="T646" s="11">
        <f t="shared" si="11"/>
        <v>0.13284663347411907</v>
      </c>
    </row>
    <row r="647" spans="16:20">
      <c r="P647" s="2" t="s">
        <v>1267</v>
      </c>
      <c r="Q647" s="2" t="s">
        <v>41</v>
      </c>
      <c r="R647" s="2" t="s">
        <v>1329</v>
      </c>
      <c r="S647" s="1">
        <v>5484.335</v>
      </c>
      <c r="T647" s="11">
        <f t="shared" si="11"/>
        <v>4.2269129389277682E-2</v>
      </c>
    </row>
    <row r="648" spans="16:20">
      <c r="P648" s="2" t="s">
        <v>1268</v>
      </c>
      <c r="Q648" s="2" t="s">
        <v>42</v>
      </c>
      <c r="R648" s="2" t="s">
        <v>1330</v>
      </c>
      <c r="S648" s="1">
        <v>6170.4</v>
      </c>
      <c r="T648" s="11">
        <f t="shared" si="11"/>
        <v>4.7556802416992942E-2</v>
      </c>
    </row>
    <row r="649" spans="16:20">
      <c r="P649" s="2" t="s">
        <v>1269</v>
      </c>
      <c r="Q649" s="2" t="s">
        <v>43</v>
      </c>
      <c r="R649" s="2" t="s">
        <v>1331</v>
      </c>
      <c r="S649" s="1">
        <v>6922.5900000000011</v>
      </c>
      <c r="T649" s="11">
        <f t="shared" si="11"/>
        <v>5.3354117211826015E-2</v>
      </c>
    </row>
    <row r="650" spans="16:20">
      <c r="P650" s="2" t="s">
        <v>1270</v>
      </c>
      <c r="Q650" s="2" t="s">
        <v>41</v>
      </c>
      <c r="R650" s="2" t="s">
        <v>1329</v>
      </c>
      <c r="S650" s="1">
        <v>10358.51</v>
      </c>
      <c r="T650" s="11">
        <f t="shared" si="11"/>
        <v>7.9835604402380009E-2</v>
      </c>
    </row>
    <row r="651" spans="16:20">
      <c r="P651" s="2" t="s">
        <v>352</v>
      </c>
      <c r="Q651" s="2"/>
      <c r="R651" s="2"/>
      <c r="S651" s="1"/>
      <c r="T651" s="11">
        <f t="shared" si="11"/>
        <v>0</v>
      </c>
    </row>
    <row r="652" spans="16:20">
      <c r="P652" s="2" t="s">
        <v>364</v>
      </c>
      <c r="Q652" s="2"/>
      <c r="R652" s="2"/>
      <c r="S652" s="1"/>
      <c r="T652" s="11">
        <f t="shared" si="11"/>
        <v>0</v>
      </c>
    </row>
    <row r="653" spans="16:20">
      <c r="P653" s="2" t="s">
        <v>372</v>
      </c>
      <c r="Q653" s="2"/>
      <c r="R653" s="2"/>
      <c r="S653" s="1"/>
      <c r="T653" s="11">
        <f t="shared" si="11"/>
        <v>0</v>
      </c>
    </row>
    <row r="654" spans="16:20">
      <c r="P654" s="2" t="s">
        <v>379</v>
      </c>
      <c r="Q654" s="2"/>
      <c r="R654" s="2"/>
      <c r="S654" s="1"/>
      <c r="T654" s="11">
        <f t="shared" si="11"/>
        <v>0</v>
      </c>
    </row>
    <row r="655" spans="16:20">
      <c r="P655" s="2" t="s">
        <v>384</v>
      </c>
      <c r="Q655" s="2"/>
      <c r="R655" s="2"/>
      <c r="S655" s="1"/>
      <c r="T655" s="11">
        <f t="shared" si="11"/>
        <v>0</v>
      </c>
    </row>
    <row r="656" spans="16:20">
      <c r="P656" s="2" t="s">
        <v>389</v>
      </c>
      <c r="Q656" s="2"/>
      <c r="R656" s="2"/>
      <c r="S656" s="1"/>
      <c r="T656" s="11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11">
        <f t="shared" si="11"/>
        <v>6.8644449240065367E-2</v>
      </c>
    </row>
    <row r="658" spans="16:20">
      <c r="P658" s="2" t="s">
        <v>1020</v>
      </c>
      <c r="Q658" s="2"/>
      <c r="R658" s="2"/>
      <c r="S658" s="1">
        <v>35592.28</v>
      </c>
      <c r="T658" s="11">
        <f t="shared" si="11"/>
        <v>0.27431852514104266</v>
      </c>
    </row>
    <row r="659" spans="16:20">
      <c r="P659" s="2" t="s">
        <v>399</v>
      </c>
      <c r="Q659" s="2"/>
      <c r="R659" s="2"/>
      <c r="S659" s="1"/>
      <c r="T659" s="11">
        <f t="shared" si="11"/>
        <v>0</v>
      </c>
    </row>
    <row r="660" spans="16:20">
      <c r="P660" s="2" t="s">
        <v>404</v>
      </c>
      <c r="Q660" s="2"/>
      <c r="R660" s="2"/>
      <c r="S660" s="1"/>
      <c r="T660" s="11">
        <f t="shared" si="11"/>
        <v>0</v>
      </c>
    </row>
    <row r="661" spans="16:20">
      <c r="P661" s="2" t="s">
        <v>410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 t="s">
        <v>1329</v>
      </c>
      <c r="S662" s="1">
        <v>1515.25</v>
      </c>
      <c r="T662" s="11">
        <f t="shared" si="11"/>
        <v>1.1678407374294788E-2</v>
      </c>
    </row>
    <row r="663" spans="16:20">
      <c r="P663" s="2" t="s">
        <v>184</v>
      </c>
      <c r="Q663" s="2" t="s">
        <v>41</v>
      </c>
      <c r="R663" s="2" t="s">
        <v>1329</v>
      </c>
      <c r="S663" s="1">
        <v>1426.8000000000002</v>
      </c>
      <c r="T663" s="11">
        <f t="shared" si="11"/>
        <v>1.0996701297900549E-2</v>
      </c>
    </row>
    <row r="664" spans="16:20">
      <c r="P664" s="2" t="s">
        <v>185</v>
      </c>
      <c r="Q664" s="2" t="s">
        <v>41</v>
      </c>
      <c r="R664" s="2" t="s">
        <v>1329</v>
      </c>
      <c r="S664" s="1">
        <v>1371.6999999999998</v>
      </c>
      <c r="T664" s="11">
        <f t="shared" si="11"/>
        <v>1.0572031938835281E-2</v>
      </c>
    </row>
    <row r="665" spans="16:20">
      <c r="P665" s="2" t="s">
        <v>186</v>
      </c>
      <c r="Q665" s="2" t="s">
        <v>41</v>
      </c>
      <c r="R665" s="2" t="s">
        <v>1329</v>
      </c>
      <c r="S665" s="1">
        <v>1524.24</v>
      </c>
      <c r="T665" s="11">
        <f t="shared" si="11"/>
        <v>1.1747695532879122E-2</v>
      </c>
    </row>
    <row r="666" spans="16:20">
      <c r="P666" s="2" t="s">
        <v>1021</v>
      </c>
      <c r="Q666" s="2" t="s">
        <v>41</v>
      </c>
      <c r="R666" s="2" t="s">
        <v>1329</v>
      </c>
      <c r="S666" s="1">
        <v>255.2</v>
      </c>
      <c r="T666" s="11">
        <f t="shared" si="11"/>
        <v>1.9668896630391222E-3</v>
      </c>
    </row>
    <row r="667" spans="16:20">
      <c r="P667" s="2" t="s">
        <v>1022</v>
      </c>
      <c r="Q667" s="2" t="s">
        <v>41</v>
      </c>
      <c r="R667" s="2" t="s">
        <v>1329</v>
      </c>
      <c r="S667" s="1">
        <v>255.2</v>
      </c>
      <c r="T667" s="11">
        <f t="shared" si="11"/>
        <v>1.9668896630391222E-3</v>
      </c>
    </row>
    <row r="668" spans="16:20">
      <c r="P668" s="2" t="s">
        <v>1023</v>
      </c>
      <c r="Q668" s="2" t="s">
        <v>41</v>
      </c>
      <c r="R668" s="2" t="s">
        <v>1329</v>
      </c>
      <c r="S668" s="1">
        <v>271.14999999999998</v>
      </c>
      <c r="T668" s="11">
        <f t="shared" si="11"/>
        <v>2.0898202669790674E-3</v>
      </c>
    </row>
    <row r="669" spans="16:20">
      <c r="P669" s="2" t="s">
        <v>1024</v>
      </c>
      <c r="Q669" s="2" t="s">
        <v>41</v>
      </c>
      <c r="R669" s="2" t="s">
        <v>1329</v>
      </c>
      <c r="S669" s="1">
        <v>255.2</v>
      </c>
      <c r="T669" s="11">
        <f t="shared" si="11"/>
        <v>1.9668896630391222E-3</v>
      </c>
    </row>
    <row r="670" spans="16:20">
      <c r="P670" s="2" t="s">
        <v>1025</v>
      </c>
      <c r="Q670" s="2" t="s">
        <v>41</v>
      </c>
      <c r="R670" s="2" t="s">
        <v>1329</v>
      </c>
      <c r="S670" s="1">
        <v>239.25</v>
      </c>
      <c r="T670" s="11">
        <f t="shared" si="11"/>
        <v>1.843959059099177E-3</v>
      </c>
    </row>
    <row r="671" spans="16:20">
      <c r="P671" s="2" t="s">
        <v>1026</v>
      </c>
      <c r="Q671" s="2" t="s">
        <v>41</v>
      </c>
      <c r="R671" s="2" t="s">
        <v>1329</v>
      </c>
      <c r="S671" s="1">
        <v>239.25</v>
      </c>
      <c r="T671" s="11">
        <f t="shared" si="11"/>
        <v>1.843959059099177E-3</v>
      </c>
    </row>
    <row r="672" spans="16:20">
      <c r="P672" s="2" t="s">
        <v>1027</v>
      </c>
      <c r="Q672" s="2" t="s">
        <v>41</v>
      </c>
      <c r="R672" s="2" t="s">
        <v>1329</v>
      </c>
      <c r="S672" s="1">
        <v>252.88</v>
      </c>
      <c r="T672" s="11">
        <f t="shared" si="11"/>
        <v>1.9490088479205848E-3</v>
      </c>
    </row>
    <row r="673" spans="16:20">
      <c r="P673" s="2" t="s">
        <v>1028</v>
      </c>
      <c r="Q673" s="2" t="s">
        <v>41</v>
      </c>
      <c r="R673" s="2" t="s">
        <v>1329</v>
      </c>
      <c r="S673" s="1">
        <v>221.27</v>
      </c>
      <c r="T673" s="11">
        <f t="shared" si="11"/>
        <v>1.7053827419305117E-3</v>
      </c>
    </row>
    <row r="674" spans="16:20">
      <c r="P674" s="2" t="s">
        <v>1029</v>
      </c>
      <c r="Q674" s="2" t="s">
        <v>41</v>
      </c>
      <c r="R674" s="2" t="s">
        <v>1329</v>
      </c>
      <c r="S674" s="1">
        <v>223.3</v>
      </c>
      <c r="T674" s="11">
        <f t="shared" si="11"/>
        <v>1.721028455159232E-3</v>
      </c>
    </row>
    <row r="675" spans="16:20">
      <c r="P675" s="2" t="s">
        <v>1030</v>
      </c>
      <c r="Q675" s="2" t="s">
        <v>41</v>
      </c>
      <c r="R675" s="2" t="s">
        <v>1329</v>
      </c>
      <c r="S675" s="1">
        <v>255.2</v>
      </c>
      <c r="T675" s="11">
        <f t="shared" si="11"/>
        <v>1.9668896630391222E-3</v>
      </c>
    </row>
    <row r="676" spans="16:20">
      <c r="P676" s="2" t="s">
        <v>1031</v>
      </c>
      <c r="Q676" s="2" t="s">
        <v>41</v>
      </c>
      <c r="R676" s="2" t="s">
        <v>1329</v>
      </c>
      <c r="S676" s="1">
        <v>252.88</v>
      </c>
      <c r="T676" s="11">
        <f t="shared" si="11"/>
        <v>1.9490088479205848E-3</v>
      </c>
    </row>
    <row r="677" spans="16:20">
      <c r="P677" s="2" t="s">
        <v>1032</v>
      </c>
      <c r="Q677" s="2" t="s">
        <v>41</v>
      </c>
      <c r="R677" s="2" t="s">
        <v>1329</v>
      </c>
      <c r="S677" s="1">
        <v>221.27</v>
      </c>
      <c r="T677" s="11">
        <f t="shared" si="11"/>
        <v>1.7053827419305117E-3</v>
      </c>
    </row>
    <row r="678" spans="16:20">
      <c r="P678" s="2" t="s">
        <v>1033</v>
      </c>
      <c r="Q678" s="2" t="s">
        <v>41</v>
      </c>
      <c r="R678" s="2" t="s">
        <v>1329</v>
      </c>
      <c r="S678" s="1">
        <v>223.3</v>
      </c>
      <c r="T678" s="11">
        <f t="shared" si="11"/>
        <v>1.721028455159232E-3</v>
      </c>
    </row>
    <row r="679" spans="16:20">
      <c r="P679" s="2" t="s">
        <v>1034</v>
      </c>
      <c r="Q679" s="2" t="s">
        <v>41</v>
      </c>
      <c r="R679" s="2" t="s">
        <v>1329</v>
      </c>
      <c r="S679" s="1">
        <v>223.3</v>
      </c>
      <c r="T679" s="11">
        <f t="shared" si="11"/>
        <v>1.721028455159232E-3</v>
      </c>
    </row>
    <row r="680" spans="16:20">
      <c r="P680" s="2" t="s">
        <v>1035</v>
      </c>
      <c r="Q680" s="2" t="s">
        <v>41</v>
      </c>
      <c r="R680" s="2" t="s">
        <v>1329</v>
      </c>
      <c r="S680" s="1">
        <v>255.2</v>
      </c>
      <c r="T680" s="11">
        <f t="shared" si="11"/>
        <v>1.9668896630391222E-3</v>
      </c>
    </row>
    <row r="681" spans="16:20">
      <c r="P681" s="2" t="s">
        <v>1036</v>
      </c>
      <c r="Q681" s="2" t="s">
        <v>41</v>
      </c>
      <c r="R681" s="2" t="s">
        <v>1329</v>
      </c>
      <c r="S681" s="1">
        <v>223.3</v>
      </c>
      <c r="T681" s="11">
        <f t="shared" si="11"/>
        <v>1.721028455159232E-3</v>
      </c>
    </row>
    <row r="682" spans="16:20">
      <c r="P682" s="2" t="s">
        <v>1037</v>
      </c>
      <c r="Q682" s="2" t="s">
        <v>41</v>
      </c>
      <c r="R682" s="2" t="s">
        <v>1329</v>
      </c>
      <c r="S682" s="1">
        <v>223.3</v>
      </c>
      <c r="T682" s="11">
        <f t="shared" si="11"/>
        <v>1.721028455159232E-3</v>
      </c>
    </row>
    <row r="683" spans="16:20">
      <c r="P683" s="2" t="s">
        <v>1038</v>
      </c>
      <c r="Q683" s="2" t="s">
        <v>41</v>
      </c>
      <c r="R683" s="2" t="s">
        <v>1329</v>
      </c>
      <c r="S683" s="1">
        <v>223.3</v>
      </c>
      <c r="T683" s="11">
        <f t="shared" si="11"/>
        <v>1.721028455159232E-3</v>
      </c>
    </row>
    <row r="684" spans="16:20">
      <c r="P684" s="2" t="s">
        <v>1039</v>
      </c>
      <c r="Q684" s="2" t="s">
        <v>41</v>
      </c>
      <c r="R684" s="2" t="s">
        <v>1329</v>
      </c>
      <c r="S684" s="1">
        <v>250.56</v>
      </c>
      <c r="T684" s="11">
        <f t="shared" si="11"/>
        <v>1.9311280328020474E-3</v>
      </c>
    </row>
    <row r="685" spans="16:20">
      <c r="P685" s="2" t="s">
        <v>1040</v>
      </c>
      <c r="Q685" s="2" t="s">
        <v>41</v>
      </c>
      <c r="R685" s="2" t="s">
        <v>1329</v>
      </c>
      <c r="S685" s="1">
        <v>255.2</v>
      </c>
      <c r="T685" s="11">
        <f t="shared" si="11"/>
        <v>1.9668896630391222E-3</v>
      </c>
    </row>
    <row r="686" spans="16:20">
      <c r="P686" s="2" t="s">
        <v>1041</v>
      </c>
      <c r="Q686" s="2" t="s">
        <v>41</v>
      </c>
      <c r="R686" s="2" t="s">
        <v>1329</v>
      </c>
      <c r="S686" s="1">
        <v>252.88</v>
      </c>
      <c r="T686" s="11">
        <f t="shared" si="11"/>
        <v>1.9490088479205848E-3</v>
      </c>
    </row>
    <row r="687" spans="16:20">
      <c r="P687" s="2" t="s">
        <v>1042</v>
      </c>
      <c r="Q687" s="2" t="s">
        <v>41</v>
      </c>
      <c r="R687" s="2" t="s">
        <v>1329</v>
      </c>
      <c r="S687" s="1">
        <v>255.2</v>
      </c>
      <c r="T687" s="11">
        <f t="shared" si="11"/>
        <v>1.9668896630391222E-3</v>
      </c>
    </row>
    <row r="688" spans="16:20">
      <c r="P688" s="2" t="s">
        <v>1043</v>
      </c>
      <c r="Q688" s="2" t="s">
        <v>41</v>
      </c>
      <c r="R688" s="2" t="s">
        <v>1329</v>
      </c>
      <c r="S688" s="1">
        <v>255.2</v>
      </c>
      <c r="T688" s="11">
        <f t="shared" ref="T688:T689" si="12">S688/$B$2</f>
        <v>1.9668896630391222E-3</v>
      </c>
    </row>
    <row r="689" spans="16:20">
      <c r="P689" s="2" t="s">
        <v>1044</v>
      </c>
      <c r="Q689" s="2" t="s">
        <v>41</v>
      </c>
      <c r="R689" s="2" t="s">
        <v>1329</v>
      </c>
      <c r="S689" s="1">
        <v>255.2</v>
      </c>
      <c r="T689" s="11">
        <f t="shared" si="12"/>
        <v>1.9668896630391222E-3</v>
      </c>
    </row>
  </sheetData>
  <autoFilter ref="P1:Y689" xr:uid="{00000000-0001-0000-0C00-000000000000}"/>
  <phoneticPr fontId="93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  <hyperlink ref="Q52" r:id="rId22" display="O2R4_Solar" xr:uid="{F54544D7-0BAB-48AF-8C36-B970BF716685}"/>
    <hyperlink ref="Q53" r:id="rId23" display="O2R4_Solar" xr:uid="{A886BA7F-E0DE-483F-B298-F4743925FAC8}"/>
    <hyperlink ref="Q163" r:id="rId24" display="O2R4_Solar" xr:uid="{6541D113-F65C-4977-8EB7-D6ADE4F0681E}"/>
    <hyperlink ref="Q164" r:id="rId25" display="O2R4_Solar" xr:uid="{D926D2FD-AD4C-4E5C-9D73-367FE91D34D7}"/>
    <hyperlink ref="Q165" r:id="rId26" display="O2R4_Solar" xr:uid="{F7E7CBEB-E865-4EF4-B4E3-B3D6C3502586}"/>
    <hyperlink ref="Q166" r:id="rId27" display="O2R4_Solar" xr:uid="{BD6A44FB-E138-4C0D-A8AB-428B76EC21D5}"/>
    <hyperlink ref="Q167" r:id="rId28" display="O2R4_Solar" xr:uid="{BF2CAC6B-4ED5-4897-A61A-0DAD5CF212FB}"/>
    <hyperlink ref="Q168" r:id="rId29" display="O2R4_Solar" xr:uid="{8CFA7DAA-8937-4E58-AE42-0306FF296BF2}"/>
    <hyperlink ref="Q169" r:id="rId30" display="O2R4_Solar" xr:uid="{01DCAD70-150B-4435-985A-48F7178F1520}"/>
    <hyperlink ref="Q170" r:id="rId31" display="O2R4_Solar" xr:uid="{8B8F7DF6-E7DD-4BFE-9962-4A26659CBC5F}"/>
    <hyperlink ref="Q171" r:id="rId32" display="O2R4_Solar" xr:uid="{AD696E01-C21E-405D-A6AF-B62A676E94F4}"/>
    <hyperlink ref="Q172" r:id="rId33" display="O2R4_Solar" xr:uid="{14B2383B-A1D7-4EE8-80C6-96846431041D}"/>
    <hyperlink ref="Q173" r:id="rId34" display="O2R4_Solar" xr:uid="{F0E3155B-BFFD-4B5B-827A-01F102BDD52D}"/>
    <hyperlink ref="Q174" r:id="rId35" display="O2R4_Solar" xr:uid="{2D17236C-AF6C-4D85-B7F7-50D8B3D883DF}"/>
    <hyperlink ref="Q175" r:id="rId36" display="O2R4_Solar" xr:uid="{2927FFE3-DD46-465F-B772-1E0B437BDBC4}"/>
    <hyperlink ref="Q176" r:id="rId37" display="O2R4_Solar" xr:uid="{57650AC6-4328-4233-BA46-ECA48019AAC7}"/>
    <hyperlink ref="Q177" r:id="rId38" display="O2R4_Solar" xr:uid="{2FE41C9B-2EA3-4058-888A-970E7B168A1E}"/>
    <hyperlink ref="Q178" r:id="rId39" display="O2R4_Solar" xr:uid="{D5EFE075-D34A-4F74-9C92-D1FA3B703C22}"/>
    <hyperlink ref="Q179" r:id="rId40" display="O2R4_Solar" xr:uid="{4666C2F1-D695-4501-9FD1-15A76D7A512A}"/>
    <hyperlink ref="Q180" r:id="rId41" display="O2R4_Solar" xr:uid="{27C4CEAB-C7B2-42C0-8407-9094356EA275}"/>
    <hyperlink ref="Q181" r:id="rId42" display="O2R4_Solar" xr:uid="{813B9F9E-17BF-41AB-B84E-7167867D76C5}"/>
    <hyperlink ref="Q182" r:id="rId43" display="O2R4_Solar" xr:uid="{2007C2B8-8AAB-4358-8456-7D2C46CC3C22}"/>
    <hyperlink ref="Q183" r:id="rId44" display="O2R4_Solar" xr:uid="{E9A1C1FD-DC8A-425D-804E-798A94821A03}"/>
    <hyperlink ref="Q184" r:id="rId45" display="O2R4_Solar" xr:uid="{EE5EA120-287D-4814-8398-855162910FD3}"/>
    <hyperlink ref="Q185" r:id="rId46" display="O2R4_Solar" xr:uid="{D1CBFF98-8BF1-4DA6-996C-8FD1D0AD4D5C}"/>
    <hyperlink ref="Q186" r:id="rId47" display="O2R4_Solar" xr:uid="{8A24FF52-414E-4BD2-BDAE-BFFBAD4D5CCA}"/>
    <hyperlink ref="Q187" r:id="rId48" display="O2R4_Solar" xr:uid="{E1F6090F-98F4-4ACF-A5DF-C6A5EBC9793C}"/>
    <hyperlink ref="Q188" r:id="rId49" display="O2R4_Solar" xr:uid="{8909612F-4F4C-4282-86AF-DE255F2A7918}"/>
    <hyperlink ref="Q189" r:id="rId50" display="O2R4_Solar" xr:uid="{26C6D104-AEAD-494D-93E0-FA15DC1BE3F7}"/>
    <hyperlink ref="Q190" r:id="rId51" display="O2R4_Solar" xr:uid="{EF40DDD0-2ACF-46A8-8340-1F4D1CF05E1C}"/>
    <hyperlink ref="Q191" r:id="rId52" display="O2R4_Solar" xr:uid="{78AEEC70-6599-41D3-B3AA-D3A54B08BA0A}"/>
    <hyperlink ref="Q192" r:id="rId53" display="O2R4_Solar" xr:uid="{C94980B4-590E-4F66-A5A0-76E336CE2D6F}"/>
    <hyperlink ref="Q193" r:id="rId54" display="O2R4_Solar" xr:uid="{5B32E053-EE96-47A8-8527-0050C8693CCD}"/>
    <hyperlink ref="Q194" r:id="rId55" display="O2R4_Solar" xr:uid="{57A7FEF1-E423-4E2A-A785-76390EEBFA4B}"/>
    <hyperlink ref="Q195" r:id="rId56" display="O2R4_Solar" xr:uid="{10DB74F2-81D1-4A8B-BA5A-B189FAEE2BDC}"/>
    <hyperlink ref="Q196" r:id="rId57" display="O2R4_Solar" xr:uid="{765BA7F1-5610-4D6F-B614-4C2E1A2D3074}"/>
    <hyperlink ref="Q197" r:id="rId58" display="O2R4_Solar" xr:uid="{1D3E8D46-50E6-448C-B704-9E7244A4F1DA}"/>
    <hyperlink ref="Q198" r:id="rId59" display="O2R4_Solar" xr:uid="{A5079DFD-3D2A-4EA1-A753-EA39AF8F7E90}"/>
    <hyperlink ref="Q418" r:id="rId60" display="O2R4_Solar" xr:uid="{CD2EF31A-3ADD-4E1A-B7F8-7CA196BD78A4}"/>
    <hyperlink ref="Q54" r:id="rId61" display="O2R4_Solar" xr:uid="{9CE5A550-4361-42D7-8AAE-0EF066C6A366}"/>
    <hyperlink ref="Q55" r:id="rId62" display="O2R4_Solar" xr:uid="{CE07816C-F2CE-4D91-9F30-79745287B9AA}"/>
    <hyperlink ref="Q56" r:id="rId63" display="O2R4_Solar" xr:uid="{9920F181-D6FF-4D21-93DF-D56096A12EF0}"/>
    <hyperlink ref="Q57" r:id="rId64" display="O2R4_Solar" xr:uid="{ED2DC97A-5A08-48EB-A0B8-A62166E1358C}"/>
    <hyperlink ref="Q199" r:id="rId65" display="O2R4_Solar" xr:uid="{98E73F46-ACF6-4F17-9BD9-F31967DF5C10}"/>
    <hyperlink ref="Q200" r:id="rId66" display="O2R4_Solar" xr:uid="{979CEA67-7C67-4FAF-A37F-073CF459CBD2}"/>
    <hyperlink ref="Q201" r:id="rId67" display="O2R4_Solar" xr:uid="{39875D43-4005-407E-B5D4-1B91FA3F4848}"/>
    <hyperlink ref="Q202" r:id="rId68" display="O2R4_Solar" xr:uid="{1F4DF2D2-D133-464B-A33E-75F50E44D211}"/>
    <hyperlink ref="Q203" r:id="rId69" display="O2R4_Solar" xr:uid="{FE5B42A3-2F38-4AA1-99F3-7F9A7F7E487C}"/>
    <hyperlink ref="Q204" r:id="rId70" display="O2R4_Solar" xr:uid="{C0DEEB9D-25E4-4723-9E10-E8A74EFD7D88}"/>
    <hyperlink ref="Q205" r:id="rId71" display="O2R4_Solar" xr:uid="{D84D4DA5-B4B8-478A-B436-7CB7692E9A5C}"/>
    <hyperlink ref="Q206" r:id="rId72" display="O2R4_Solar" xr:uid="{E3A863C5-D45A-4D4D-AAFD-E9102CC19108}"/>
    <hyperlink ref="Q207" r:id="rId73" display="O2R4_Solar" xr:uid="{FFE0877D-CEF2-4AC1-B9CE-09AF9AA9EE5D}"/>
    <hyperlink ref="Q208" r:id="rId74" display="O2R4_Solar" xr:uid="{A7256B0B-350B-4367-A057-27540CC0C5FA}"/>
    <hyperlink ref="Q209" r:id="rId75" display="O2R4_Solar" xr:uid="{1E39AC4B-26E9-4BB9-AC77-0A3577FE627D}"/>
    <hyperlink ref="Q210" r:id="rId76" display="O2R4_Solar" xr:uid="{BDA423B1-79FD-4B01-B227-41F67FD9B252}"/>
    <hyperlink ref="Q211" r:id="rId77" display="O2R4_Solar" xr:uid="{B61340CD-D624-46D5-8F49-6ABFE5460100}"/>
    <hyperlink ref="Q212" r:id="rId78" display="O2R4_Solar" xr:uid="{A77F4161-115F-4884-843F-7FCD3F7AA680}"/>
    <hyperlink ref="Q213" r:id="rId79" display="O2R4_Solar" xr:uid="{45A41286-5B25-4634-A7BD-DA2D030CF1EE}"/>
    <hyperlink ref="Q214" r:id="rId80" display="O2R4_Solar" xr:uid="{169CBC33-984A-488A-87D6-B832A705ACFB}"/>
    <hyperlink ref="Q215" r:id="rId81" display="O2R4_Solar" xr:uid="{B0C13ACB-506F-4676-83F5-A22F27D00D02}"/>
    <hyperlink ref="Q216" r:id="rId82" display="O2R4_Solar" xr:uid="{784C5F5F-9CC3-46BF-8D84-DB25D26317F4}"/>
    <hyperlink ref="Q217" r:id="rId83" display="O2R4_Solar" xr:uid="{1D437318-BD20-438B-9134-B7365B8CFBB9}"/>
    <hyperlink ref="Q218" r:id="rId84" display="O2R4_Solar" xr:uid="{0E1C3B7F-C58A-4B4D-915C-257BDCA80AF4}"/>
    <hyperlink ref="Q219" r:id="rId85" display="O2R4_Solar" xr:uid="{99048F40-311A-4876-85B5-A062AAB19288}"/>
    <hyperlink ref="Q220" r:id="rId86" display="O2R4_Solar" xr:uid="{B3CE6DFB-A115-4328-BEAC-C963D2662B75}"/>
    <hyperlink ref="Q221" r:id="rId87" display="O2R4_Solar" xr:uid="{4D1B6FB4-C198-4DF4-B3CE-5A94A7497009}"/>
    <hyperlink ref="Q222" r:id="rId88" display="O2R4_Solar" xr:uid="{5A15C960-1ADC-484A-AE42-F91BA599F076}"/>
    <hyperlink ref="Q223" r:id="rId89" display="O2R4_Solar" xr:uid="{4F724D79-544F-4DCA-A166-933DF0AF411D}"/>
    <hyperlink ref="Q224" r:id="rId90" display="O2R4_Solar" xr:uid="{1D5DCD53-4283-4B50-81D2-4A51B773B573}"/>
    <hyperlink ref="Q225" r:id="rId91" display="O2R4_Solar" xr:uid="{231979B9-82EE-43A5-8A53-C28747FC0B01}"/>
    <hyperlink ref="Q226" r:id="rId92" display="O2R4_Solar" xr:uid="{7DF269B2-F140-4FF6-A0AC-20170F18A392}"/>
    <hyperlink ref="Q227" r:id="rId93" display="O2R4_Solar" xr:uid="{C2A50979-836A-411D-85E1-4DA0D9480A94}"/>
    <hyperlink ref="Q228" r:id="rId94" display="O2R4_Solar" xr:uid="{E37E9872-57DC-46EA-98E4-B785064ACD4B}"/>
    <hyperlink ref="Q229" r:id="rId95" display="O2R4_Solar" xr:uid="{2053DDB0-B819-4015-AB70-D37EBA95FBA6}"/>
    <hyperlink ref="Q230" r:id="rId96" display="O2R4_Solar" xr:uid="{FABE6F8E-D69A-46AF-AB81-472A96D2699E}"/>
    <hyperlink ref="Q231" r:id="rId97" display="O2R4_Solar" xr:uid="{E7BCC0CC-188C-40B4-B42D-759CF5163AB2}"/>
    <hyperlink ref="Q232" r:id="rId98" display="O2R4_Solar" xr:uid="{B3D600F2-59E9-4329-BAA0-30FB3047844A}"/>
    <hyperlink ref="Q233" r:id="rId99" display="O2R4_Solar" xr:uid="{39D178BC-0CDC-4C76-8E08-41EC620842CF}"/>
    <hyperlink ref="Q234" r:id="rId100" display="O2R4_Solar" xr:uid="{61DCD28B-AF71-4DD2-B9AA-9ABA8879EE94}"/>
    <hyperlink ref="Q235" r:id="rId101" display="O2R4_Solar" xr:uid="{92092625-D077-4F39-8372-5F17BE5DF6BA}"/>
    <hyperlink ref="Q236" r:id="rId102" display="O2R4_Solar" xr:uid="{A4FB5ACE-2B3C-4821-8A59-014BDDE53F22}"/>
    <hyperlink ref="Q237" r:id="rId103" display="O2R4_Solar" xr:uid="{5F902376-4B78-4D34-8D5A-16DBCC6B88AF}"/>
    <hyperlink ref="Q238" r:id="rId104" display="O2R4_Solar" xr:uid="{4279CA3D-6644-46F2-A3C8-95CB03864883}"/>
    <hyperlink ref="Q239" r:id="rId105" display="O2R4_Solar" xr:uid="{E24B00FD-CC71-4D6C-B5DD-90D3F742BF6F}"/>
    <hyperlink ref="Q240" r:id="rId106" display="O2R4_Solar" xr:uid="{826D546D-69FB-4321-BE16-D296C20794ED}"/>
    <hyperlink ref="Q241" r:id="rId107" display="O2R4_Solar" xr:uid="{88986035-7F55-42BE-9DD0-8F72005EDB5B}"/>
    <hyperlink ref="Q242" r:id="rId108" display="O2R4_Solar" xr:uid="{5A80E348-8D16-475D-8140-E9D063437526}"/>
    <hyperlink ref="Q243" r:id="rId109" display="O2R4_Solar" xr:uid="{A5A42502-B897-4366-92E8-D672BD29A3E0}"/>
    <hyperlink ref="Q244" r:id="rId110" display="O2R4_Solar" xr:uid="{BC42C6FB-7064-4BE5-88B8-05EF9F99FE5A}"/>
    <hyperlink ref="Q245" r:id="rId111" display="O2R4_Solar" xr:uid="{063F8F5B-018C-42D1-BB16-616640A6C401}"/>
    <hyperlink ref="Q246" r:id="rId112" display="O2R4_Solar" xr:uid="{46D89AF4-28F9-4A19-B658-C5A71B37CC71}"/>
    <hyperlink ref="Q247" r:id="rId113" display="O2R4_Solar" xr:uid="{71F32552-613F-4DB0-A390-A17E88E3F396}"/>
    <hyperlink ref="Q248" r:id="rId114" display="O2R4_Solar" xr:uid="{FBA91D66-638F-4542-9BE3-2D13F73C9452}"/>
    <hyperlink ref="Q249" r:id="rId115" display="O2R4_Solar" xr:uid="{02BE389C-A9B9-4815-820A-9802DD3A9C93}"/>
    <hyperlink ref="Q250" r:id="rId116" display="O2R4_Solar" xr:uid="{3C252A29-BA46-43E9-8445-A4FEAE79B34B}"/>
    <hyperlink ref="Q251" r:id="rId117" display="O2R4_Solar" xr:uid="{C5C2C100-2C31-4198-BB11-DD0941C8A5BF}"/>
    <hyperlink ref="Q252" r:id="rId118" display="O2R4_Solar" xr:uid="{5B1C3357-8CFD-4211-AF0E-5BD325131F05}"/>
    <hyperlink ref="Q253" r:id="rId119" display="O2R4_Solar" xr:uid="{C0CF3196-6832-4A73-A320-772ADAB88156}"/>
    <hyperlink ref="Q254" r:id="rId120" display="O2R4_Solar" xr:uid="{8F598A56-B3F0-4499-A7F6-3ED671D75AB5}"/>
    <hyperlink ref="Q255" r:id="rId121" display="O2R4_Solar" xr:uid="{AAB3B20C-082A-4599-A5C2-F6F574510F4F}"/>
    <hyperlink ref="Q256" r:id="rId122" display="O2R4_Solar" xr:uid="{684AECB2-41E2-4E81-AFAD-39800D802164}"/>
    <hyperlink ref="Q257" r:id="rId123" display="O2R4_Solar" xr:uid="{0D7F1BB6-D71E-4E10-892D-7638D99CE9E0}"/>
    <hyperlink ref="Q258" r:id="rId124" display="O2R4_Solar" xr:uid="{E2EF3EF6-7D38-409D-8D3A-373C907E7E15}"/>
    <hyperlink ref="Q259" r:id="rId125" display="O2R4_Solar" xr:uid="{6865D49B-3A7D-4EED-B365-699DAC5D3DF5}"/>
    <hyperlink ref="Q260" r:id="rId126" display="O2R4_Solar" xr:uid="{C10B5875-1380-4590-A91D-0B63C6903DB1}"/>
    <hyperlink ref="Q261" r:id="rId127" display="O2R4_Solar" xr:uid="{D74AA6F1-F0D9-4BE5-B69C-E03182A0DFCA}"/>
    <hyperlink ref="Q262" r:id="rId128" display="O2R4_Solar" xr:uid="{44CC3060-822F-441D-8760-258E6CEFBE06}"/>
    <hyperlink ref="Q263" r:id="rId129" display="O2R4_Solar" xr:uid="{F3CA0BB2-C444-4906-80B6-5174B4816A10}"/>
    <hyperlink ref="Q264" r:id="rId130" display="O2R4_Solar" xr:uid="{40A70D43-164A-4AD0-8C5F-B7B00BF253BE}"/>
    <hyperlink ref="Q265" r:id="rId131" display="O2R4_Solar" xr:uid="{3B69C873-CFC7-4631-860A-364EE57E6532}"/>
    <hyperlink ref="Q266" r:id="rId132" display="O2R4_Solar" xr:uid="{C21956A1-02FF-4E7B-8EFA-F525325BC0A8}"/>
    <hyperlink ref="Q267" r:id="rId133" display="O2R4_Solar" xr:uid="{D84058AE-C45F-4A7B-B07A-4A550715FB69}"/>
    <hyperlink ref="Q268" r:id="rId134" display="O2R4_Solar" xr:uid="{11425F10-E715-4012-A48A-A4936AB209FE}"/>
    <hyperlink ref="Q269" r:id="rId135" display="O2R4_Solar" xr:uid="{F36DAA2A-9F7D-42AE-8B35-9B3CAE6DFC50}"/>
    <hyperlink ref="Q270" r:id="rId136" display="O2R4_Solar" xr:uid="{64B26457-D41F-4936-A23B-6C3374EE4A60}"/>
    <hyperlink ref="Q419" r:id="rId137" display="O2R4_Solar" xr:uid="{9B0B6502-5506-40A8-A2B5-2F77284D6E55}"/>
    <hyperlink ref="Q48" r:id="rId138" display="O2R4_Solar" xr:uid="{20B56D30-6865-44E5-AD6B-CCD0DFBFE51A}"/>
    <hyperlink ref="Q49" r:id="rId139" display="O2R4_Solar" xr:uid="{08B0757F-4B43-41EB-881E-7867A7D69D3E}"/>
    <hyperlink ref="Q67" r:id="rId140" display="O2R4_Solar" xr:uid="{80EF3357-FAD3-4E72-92FF-1569E62875FF}"/>
    <hyperlink ref="Q68" r:id="rId141" display="O2R4_Solar" xr:uid="{1754FB1D-333C-4D10-80C0-B3E5913D4C34}"/>
    <hyperlink ref="Q69" r:id="rId142" display="O2R4_Solar" xr:uid="{6E31C79E-EA97-4D10-A63F-7395899C3A3D}"/>
    <hyperlink ref="Q70" r:id="rId143" display="O2R4_Solar" xr:uid="{23404C5C-33D7-4FD1-A7E6-3D8CF598BC56}"/>
    <hyperlink ref="Q71" r:id="rId144" display="O2R4_Solar" xr:uid="{F344B2FF-4085-45E4-956A-6159ADE18D94}"/>
    <hyperlink ref="Q72" r:id="rId145" display="O2R4_Solar" xr:uid="{DD16A63E-79E5-4CEE-A054-F2CD6572E280}"/>
    <hyperlink ref="Q73" r:id="rId146" display="O2R4_Solar" xr:uid="{46843BCE-EEB2-45B3-9997-67D822B822B6}"/>
    <hyperlink ref="Q74" r:id="rId147" display="O2R4_Solar" xr:uid="{219E289F-75A9-4AE1-97DC-D18AEDA0FAF5}"/>
    <hyperlink ref="Q75" r:id="rId148" display="O2R4_Solar" xr:uid="{DF042D1A-E239-4010-99F8-EAB27042DAC9}"/>
    <hyperlink ref="Q76" r:id="rId149" display="O2R4_Solar" xr:uid="{0EC205C1-8EE5-4BC1-AF68-86DB48B80A2D}"/>
    <hyperlink ref="Q77" r:id="rId150" display="O2R4_Solar" xr:uid="{A4DD1E62-D2C2-4BB7-9750-A46198D9447D}"/>
    <hyperlink ref="Q78" r:id="rId151" display="O2R4_Solar" xr:uid="{642D4B4F-BAE3-4395-BFA7-6681C529A938}"/>
    <hyperlink ref="Q79" r:id="rId152" display="O2R4_Solar" xr:uid="{0E64FA5C-0DA9-430C-873D-BF7A870DA9BA}"/>
    <hyperlink ref="Q80" r:id="rId153" display="O2R4_Solar" xr:uid="{9D378126-A61C-452F-9FA5-62BA5B941647}"/>
    <hyperlink ref="Q81" r:id="rId154" display="O2R4_Solar" xr:uid="{80D593EC-40B8-44EC-AA28-F3C49C77C9C2}"/>
    <hyperlink ref="Q82" r:id="rId155" display="O2R4_Solar" xr:uid="{42A71FBA-AB0E-4F68-ADAC-255524B72283}"/>
    <hyperlink ref="Q83" r:id="rId156" display="O2R4_Solar" xr:uid="{B45906FC-DF84-4DE5-8CA1-3AA8131F423F}"/>
    <hyperlink ref="Q84" r:id="rId157" display="O2R4_Solar" xr:uid="{76F0BD55-4C48-4B5A-B94D-7BFCE781788E}"/>
    <hyperlink ref="Q85" r:id="rId158" display="O2R4_Solar" xr:uid="{859FE711-92F0-4E84-97CA-41B07FAB2372}"/>
    <hyperlink ref="Q86" r:id="rId159" display="O2R4_Solar" xr:uid="{9592A1C2-0741-4E74-8B98-70242A859E00}"/>
    <hyperlink ref="Q87" r:id="rId160" display="O2R4_Solar" xr:uid="{E46D74C4-071C-4A08-8946-2B9CA940BECE}"/>
    <hyperlink ref="Q88" r:id="rId161" display="O2R4_Solar" xr:uid="{EF522310-064C-48DC-AF67-8B7B0DAEE05C}"/>
    <hyperlink ref="Q89" r:id="rId162" display="O2R4_Solar" xr:uid="{49629B0A-0025-4AE9-B245-F998D9A1D596}"/>
    <hyperlink ref="Q90" r:id="rId163" display="O2R4_Solar" xr:uid="{DACFF96F-46A4-47C3-8701-2263D8589C21}"/>
    <hyperlink ref="Q91" r:id="rId164" display="O2R4_Solar" xr:uid="{F2538AB6-84DE-4D22-94C9-D8EC6B2C4430}"/>
    <hyperlink ref="Q92" r:id="rId165" display="O2R4_Solar" xr:uid="{9075FE34-3849-481E-9210-02B7B167975B}"/>
    <hyperlink ref="Q93" r:id="rId166" display="O2R4_Solar" xr:uid="{214C9902-1D2A-46E1-9D3D-D60FD2477A30}"/>
    <hyperlink ref="Q94" r:id="rId167" display="O2R4_Solar" xr:uid="{491D3D2A-D45B-42B4-BE89-99AEB59B08D7}"/>
    <hyperlink ref="Q95" r:id="rId168" display="O2R4_Solar" xr:uid="{9BF7ABDE-32ED-4871-85EE-7CBEB1A21299}"/>
    <hyperlink ref="Q96" r:id="rId169" display="O2R4_Solar" xr:uid="{CA01DAFC-344D-402D-9922-08F892C02F82}"/>
    <hyperlink ref="Q97" r:id="rId170" display="O2R4_Solar" xr:uid="{E02E95B3-351C-4FCB-A769-66678CDA630C}"/>
    <hyperlink ref="Q98" r:id="rId171" display="O2R4_Solar" xr:uid="{22B63A36-3C68-4E0A-A78C-A8A6BBF46E0F}"/>
    <hyperlink ref="Q99" r:id="rId172" display="O2R4_Solar" xr:uid="{4D860F86-484A-497D-A39A-10358F269071}"/>
    <hyperlink ref="Q100" r:id="rId173" display="O2R4_Solar" xr:uid="{31BB37AD-2BCA-4DA3-ABC6-DE7172E5D87F}"/>
    <hyperlink ref="Q101" r:id="rId174" display="O2R4_Solar" xr:uid="{5F6E46C4-2AA5-4BE1-A95F-333981437B99}"/>
    <hyperlink ref="Q102" r:id="rId175" display="O2R4_Solar" xr:uid="{0738A2D4-1CE7-4D86-9DF8-3F7AFFEC9757}"/>
    <hyperlink ref="Q103" r:id="rId176" display="O2R4_Solar" xr:uid="{1215A6D3-B23B-44CD-B372-9566C2608D6D}"/>
    <hyperlink ref="Q104" r:id="rId177" display="O2R4_Solar" xr:uid="{32C0F8C4-15D2-4211-A5C8-99183051641F}"/>
    <hyperlink ref="Q105" r:id="rId178" display="O2R4_Solar" xr:uid="{4A63F085-7D51-49FA-8032-0A036BE52C2D}"/>
    <hyperlink ref="Q106" r:id="rId179" display="O2R4_Solar" xr:uid="{17436EA6-D78A-4215-A378-7158725925F7}"/>
    <hyperlink ref="Q107" r:id="rId180" display="O2R4_Solar" xr:uid="{D5D71A96-7AB0-4AB8-80CA-1E33EDB34A21}"/>
    <hyperlink ref="Q108" r:id="rId181" display="O2R4_Solar" xr:uid="{E2837A4F-C577-4B65-A0C2-856DCFAFE280}"/>
    <hyperlink ref="Q109" r:id="rId182" display="O2R4_Solar" xr:uid="{A6F4D1B1-E7AC-4DD5-BC28-B2DE1938D972}"/>
    <hyperlink ref="Q110" r:id="rId183" display="O2R4_Solar" xr:uid="{C0B3E43E-833A-44C4-9FAB-5C3BB1D6F3DD}"/>
    <hyperlink ref="Q111" r:id="rId184" display="O2R4_Solar" xr:uid="{B5E9C0A3-90F2-446C-AFCE-D596B18F52E6}"/>
    <hyperlink ref="Q112" r:id="rId185" display="O2R4_Solar" xr:uid="{58CD9845-6D1C-4AC7-94A7-690481B6035C}"/>
    <hyperlink ref="Q113" r:id="rId186" display="O2R4_Solar" xr:uid="{F774BB3F-2B53-41D5-AC47-E461F8329C0D}"/>
    <hyperlink ref="Q114" r:id="rId187" display="O2R4_Solar" xr:uid="{F7504DF3-7C1D-422B-B3DE-CA9B0D0080F7}"/>
    <hyperlink ref="Q416" r:id="rId188" display="O2R4_Solar" xr:uid="{87A638F3-2A4E-4B34-B21E-8C9228006D38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30"/>
  <sheetViews>
    <sheetView zoomScale="80" zoomScaleNormal="80" workbookViewId="0">
      <pane xSplit="10" ySplit="1" topLeftCell="K103" activePane="bottomRight" state="frozen"/>
      <selection pane="topRight" activeCell="K1" sqref="K1"/>
      <selection pane="bottomLeft" activeCell="A2" sqref="A2"/>
      <selection pane="bottomRight" activeCell="L134" sqref="L134"/>
    </sheetView>
  </sheetViews>
  <sheetFormatPr defaultColWidth="9" defaultRowHeight="15"/>
  <cols>
    <col min="1" max="1" width="13.140625" bestFit="1" customWidth="1"/>
    <col min="2" max="2" width="11.140625" customWidth="1"/>
    <col min="3" max="4" width="12.140625" customWidth="1"/>
    <col min="5" max="5" width="14.140625" customWidth="1"/>
    <col min="6" max="6" width="13" customWidth="1"/>
    <col min="7" max="7" width="10.85546875" customWidth="1"/>
    <col min="8" max="8" width="9" style="5"/>
    <col min="9" max="9" width="18.140625" style="5" customWidth="1"/>
    <col min="10" max="10" width="26" customWidth="1"/>
    <col min="11" max="11" width="17.42578125" customWidth="1"/>
    <col min="12" max="12" width="16.140625" customWidth="1"/>
    <col min="13" max="13" width="18.140625" customWidth="1"/>
    <col min="14" max="14" width="12.85546875" customWidth="1"/>
    <col min="15" max="15" width="11.85546875" customWidth="1"/>
    <col min="16" max="17" width="19.140625" customWidth="1"/>
    <col min="18" max="18" width="12.42578125" customWidth="1"/>
    <col min="19" max="19" width="12.140625" customWidth="1"/>
    <col min="20" max="20" width="19.140625" customWidth="1"/>
    <col min="21" max="21" width="18.85546875" customWidth="1"/>
    <col min="22" max="22" width="18.140625" style="27" customWidth="1"/>
    <col min="23" max="23" width="12.85546875" customWidth="1"/>
    <col min="24" max="24" width="64.42578125" bestFit="1" customWidth="1"/>
    <col min="25" max="25" width="82.85546875" bestFit="1" customWidth="1"/>
    <col min="26" max="26" width="14.42578125" style="5" customWidth="1"/>
    <col min="27" max="29" width="19.85546875" style="5" customWidth="1"/>
    <col min="30" max="30" width="12.85546875" customWidth="1"/>
    <col min="31" max="31" width="13.140625" customWidth="1"/>
    <col min="32" max="32" width="13.85546875" customWidth="1"/>
    <col min="33" max="33" width="14.140625" customWidth="1"/>
    <col min="34" max="34" width="143.7109375" bestFit="1" customWidth="1"/>
    <col min="35" max="35" width="12.7109375" bestFit="1" customWidth="1"/>
    <col min="36" max="36" width="11.85546875" customWidth="1"/>
    <col min="37" max="37" width="9.85546875" customWidth="1"/>
    <col min="38" max="38" width="12.140625" customWidth="1"/>
    <col min="39" max="39" width="14.42578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1045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1046</v>
      </c>
      <c r="L1" s="33" t="s">
        <v>1047</v>
      </c>
      <c r="M1" s="33" t="s">
        <v>1048</v>
      </c>
      <c r="N1" s="33" t="s">
        <v>1049</v>
      </c>
      <c r="O1" s="33" t="s">
        <v>1050</v>
      </c>
      <c r="P1" s="33" t="s">
        <v>1051</v>
      </c>
      <c r="Q1" s="33" t="s">
        <v>1052</v>
      </c>
      <c r="R1" s="33" t="s">
        <v>1053</v>
      </c>
      <c r="S1" s="33" t="s">
        <v>1054</v>
      </c>
      <c r="T1" s="33" t="s">
        <v>1055</v>
      </c>
      <c r="U1" s="33" t="s">
        <v>1056</v>
      </c>
      <c r="V1" s="33" t="s">
        <v>311</v>
      </c>
      <c r="W1" s="33" t="s">
        <v>1057</v>
      </c>
      <c r="X1" s="33" t="s">
        <v>1058</v>
      </c>
      <c r="Y1" s="33" t="s">
        <v>312</v>
      </c>
      <c r="Z1" s="33" t="s">
        <v>1059</v>
      </c>
      <c r="AA1" s="33" t="s">
        <v>1060</v>
      </c>
      <c r="AB1" s="33" t="s">
        <v>1061</v>
      </c>
      <c r="AC1" s="33" t="s">
        <v>1062</v>
      </c>
      <c r="AD1" s="33" t="s">
        <v>1063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1064</v>
      </c>
      <c r="AL1" s="43" t="s">
        <v>1065</v>
      </c>
      <c r="AM1" s="43" t="s">
        <v>1066</v>
      </c>
    </row>
    <row r="2" spans="1:39">
      <c r="A2" s="147">
        <v>1</v>
      </c>
      <c r="B2" s="148">
        <v>45750</v>
      </c>
      <c r="C2" s="180">
        <v>2026</v>
      </c>
      <c r="D2" s="34">
        <v>2025</v>
      </c>
      <c r="E2" s="149" t="s">
        <v>324</v>
      </c>
      <c r="F2" s="149" t="s">
        <v>324</v>
      </c>
      <c r="G2" s="169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49" t="s">
        <v>374</v>
      </c>
      <c r="M2" s="35"/>
      <c r="N2" s="35"/>
      <c r="O2" s="38"/>
      <c r="P2" s="38"/>
      <c r="Q2" s="35" t="s">
        <v>352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17086.509999999998</v>
      </c>
      <c r="V2" s="308">
        <f>IFERROR(_xlfn.XLOOKUP(PA_8[[#This Row],[Affected Equipment ]],'Basic Data'!$P:$P,'Basic Data'!$T:$T),"")</f>
        <v>0.13168996824613868</v>
      </c>
      <c r="W2" s="293" t="s">
        <v>390</v>
      </c>
      <c r="X2" s="150" t="s">
        <v>1067</v>
      </c>
      <c r="Y2" s="294" t="s">
        <v>1068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1069</v>
      </c>
      <c r="AI2" s="149" t="s">
        <v>366</v>
      </c>
      <c r="AJ2" s="37">
        <f>IFERROR(PA_8[[#This Row],[Breakdown Time]]*PA_8[[#This Row],[Plant Equivalent Weightage]],"")</f>
        <v>0.82306230153836679</v>
      </c>
      <c r="AK2" s="38">
        <v>3.711217</v>
      </c>
      <c r="AL2" s="151">
        <f>5992.4*PA_8[[#This Row],[Lost PoA(Wh/m2)]]*81.6%</f>
        <v>18147.102948652799</v>
      </c>
      <c r="AM2" s="151"/>
    </row>
    <row r="3" spans="1:39">
      <c r="A3" s="147">
        <v>2</v>
      </c>
      <c r="B3" s="148">
        <v>45755</v>
      </c>
      <c r="C3" s="180">
        <f>YEAR(PA_8[[#This Row],[Date]])+IF(MONTH(PA_8[[#This Row],[Date]])&gt;=4,1,0)</f>
        <v>2026</v>
      </c>
      <c r="D3" s="34">
        <f>YEAR(PA_8[[#This Row],[Date]])</f>
        <v>2025</v>
      </c>
      <c r="E3" s="149" t="s">
        <v>324</v>
      </c>
      <c r="F3" s="149" t="s">
        <v>324</v>
      </c>
      <c r="G3" s="169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49" t="s">
        <v>407</v>
      </c>
      <c r="M3" s="35" t="s">
        <v>348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4242.7</v>
      </c>
      <c r="V3" s="308">
        <f>IFERROR(_xlfn.XLOOKUP(PA_8[[#This Row],[Affected Equipment ]],'Basic Data'!$P:$P,'Basic Data'!$T:$T),"")</f>
        <v>3.2699540648025403E-2</v>
      </c>
      <c r="W3" s="293" t="s">
        <v>328</v>
      </c>
      <c r="X3" s="150" t="s">
        <v>1070</v>
      </c>
      <c r="Y3" s="150" t="s">
        <v>1070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1071</v>
      </c>
      <c r="AI3" s="149" t="s">
        <v>366</v>
      </c>
      <c r="AJ3" s="37">
        <f>IFERROR(PA_8[[#This Row],[Breakdown Time]]*PA_8[[#This Row],[Plant Equivalent Weightage]],"")</f>
        <v>9.2648698502738741E-3</v>
      </c>
      <c r="AK3" s="38">
        <v>0.23899999999999999</v>
      </c>
      <c r="AL3" s="151">
        <f>U3*PA_8[[#This Row],[Lost PoA(Wh/m2)]]*81.6%</f>
        <v>827.42832479999993</v>
      </c>
      <c r="AM3" s="151"/>
    </row>
    <row r="4" spans="1:39">
      <c r="A4" s="147">
        <v>3</v>
      </c>
      <c r="B4" s="148">
        <v>45759</v>
      </c>
      <c r="C4" s="180">
        <f>YEAR(PA_8[[#This Row],[Date]])+IF(MONTH(PA_8[[#This Row],[Date]])&gt;=4,1,0)</f>
        <v>2026</v>
      </c>
      <c r="D4" s="34">
        <f>YEAR(PA_8[[#This Row],[Date]])</f>
        <v>2025</v>
      </c>
      <c r="E4" s="149" t="s">
        <v>324</v>
      </c>
      <c r="F4" s="149" t="s">
        <v>324</v>
      </c>
      <c r="G4" s="169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49" t="s">
        <v>407</v>
      </c>
      <c r="M4" s="35"/>
      <c r="N4" s="35"/>
      <c r="O4" s="38"/>
      <c r="P4" s="38"/>
      <c r="Q4" s="35" t="s">
        <v>352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08">
        <f>IFERROR(_xlfn.XLOOKUP(PA_8[[#This Row],[Affected Equipment ]],'Basic Data'!$P:$P,'Basic Data'!$T:$T),"")</f>
        <v>0.13284663347411907</v>
      </c>
      <c r="W4" s="293" t="s">
        <v>390</v>
      </c>
      <c r="X4" s="150" t="s">
        <v>1072</v>
      </c>
      <c r="Y4" s="150" t="s">
        <v>1073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1074</v>
      </c>
      <c r="AI4" s="149" t="s">
        <v>366</v>
      </c>
      <c r="AJ4" s="37">
        <f>IFERROR(PA_8[[#This Row],[Breakdown Time]]*PA_8[[#This Row],[Plant Equivalent Weightage]],"")</f>
        <v>9.9634975105589302E-2</v>
      </c>
      <c r="AK4" s="38">
        <v>0.13200000000000001</v>
      </c>
      <c r="AL4" s="151">
        <f>U4*PA_8[[#This Row],[Lost PoA(Wh/m2)]]*81.6%</f>
        <v>1856.58704352</v>
      </c>
      <c r="AM4" s="151"/>
    </row>
    <row r="5" spans="1:39">
      <c r="A5" s="147">
        <v>4</v>
      </c>
      <c r="B5" s="148">
        <v>45759</v>
      </c>
      <c r="C5" s="180">
        <f>YEAR(PA_8[[#This Row],[Date]])+IF(MONTH(PA_8[[#This Row],[Date]])&gt;=4,1,0)</f>
        <v>2026</v>
      </c>
      <c r="D5" s="34">
        <f>YEAR(PA_8[[#This Row],[Date]])</f>
        <v>2025</v>
      </c>
      <c r="E5" s="149" t="s">
        <v>324</v>
      </c>
      <c r="F5" s="149" t="s">
        <v>324</v>
      </c>
      <c r="G5" s="169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49" t="s">
        <v>412</v>
      </c>
      <c r="M5" s="35"/>
      <c r="N5" s="35"/>
      <c r="O5" s="38"/>
      <c r="P5" s="38"/>
      <c r="Q5" s="35" t="s">
        <v>352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08">
        <f>IFERROR(_xlfn.XLOOKUP(PA_8[[#This Row],[Affected Equipment ]],'Basic Data'!$P:$P,'Basic Data'!$T:$T),"")</f>
        <v>4.2269129389277682E-2</v>
      </c>
      <c r="W5" s="293" t="s">
        <v>390</v>
      </c>
      <c r="X5" s="150" t="s">
        <v>1072</v>
      </c>
      <c r="Y5" s="150" t="s">
        <v>1073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1074</v>
      </c>
      <c r="AI5" s="149" t="s">
        <v>366</v>
      </c>
      <c r="AJ5" s="37">
        <f>IFERROR(PA_8[[#This Row],[Breakdown Time]]*PA_8[[#This Row],[Plant Equivalent Weightage]],"")</f>
        <v>3.1701847041958262E-2</v>
      </c>
      <c r="AK5" s="38">
        <v>0.13200000000000001</v>
      </c>
      <c r="AL5" s="151">
        <f>U5*PA_8[[#This Row],[Lost PoA(Wh/m2)]]*81.6%</f>
        <v>590.72869151999998</v>
      </c>
      <c r="AM5" s="151"/>
    </row>
    <row r="6" spans="1:39">
      <c r="A6" s="147">
        <v>5</v>
      </c>
      <c r="B6" s="148">
        <v>45759</v>
      </c>
      <c r="C6" s="180">
        <f>YEAR(PA_8[[#This Row],[Date]])+IF(MONTH(PA_8[[#This Row],[Date]])&gt;=4,1,0)</f>
        <v>2026</v>
      </c>
      <c r="D6" s="34">
        <f>YEAR(PA_8[[#This Row],[Date]])</f>
        <v>2025</v>
      </c>
      <c r="E6" s="149" t="s">
        <v>324</v>
      </c>
      <c r="F6" s="149" t="s">
        <v>324</v>
      </c>
      <c r="G6" s="169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49" t="s">
        <v>416</v>
      </c>
      <c r="M6" s="35"/>
      <c r="N6" s="35"/>
      <c r="O6" s="38"/>
      <c r="P6" s="38"/>
      <c r="Q6" s="307" t="s">
        <v>352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08">
        <f>IFERROR(_xlfn.XLOOKUP(PA_8[[#This Row],[Affected Equipment ]],'Basic Data'!$P:$P,'Basic Data'!$T:$T),"")</f>
        <v>4.7556802416992942E-2</v>
      </c>
      <c r="W6" s="293" t="s">
        <v>390</v>
      </c>
      <c r="X6" s="150" t="s">
        <v>1072</v>
      </c>
      <c r="Y6" s="150" t="s">
        <v>1073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1074</v>
      </c>
      <c r="AI6" s="149" t="s">
        <v>366</v>
      </c>
      <c r="AJ6" s="37">
        <f>IFERROR(PA_8[[#This Row],[Breakdown Time]]*PA_8[[#This Row],[Plant Equivalent Weightage]],"")</f>
        <v>3.5667601812744705E-2</v>
      </c>
      <c r="AK6" s="38">
        <v>0.13200000000000001</v>
      </c>
      <c r="AL6" s="151">
        <f>U6*PA_8[[#This Row],[Lost PoA(Wh/m2)]]*81.6%</f>
        <v>664.62612479999996</v>
      </c>
      <c r="AM6" s="151"/>
    </row>
    <row r="7" spans="1:39">
      <c r="A7" s="147">
        <v>6</v>
      </c>
      <c r="B7" s="148">
        <v>45759</v>
      </c>
      <c r="C7" s="180">
        <f>YEAR(PA_8[[#This Row],[Date]])+IF(MONTH(PA_8[[#This Row],[Date]])&gt;=4,1,0)</f>
        <v>2026</v>
      </c>
      <c r="D7" s="34">
        <f>YEAR(PA_8[[#This Row],[Date]])</f>
        <v>2025</v>
      </c>
      <c r="E7" s="149" t="s">
        <v>324</v>
      </c>
      <c r="F7" s="149" t="s">
        <v>324</v>
      </c>
      <c r="G7" s="169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49" t="s">
        <v>419</v>
      </c>
      <c r="M7" s="35"/>
      <c r="N7" s="35"/>
      <c r="O7" s="38"/>
      <c r="P7" s="38"/>
      <c r="Q7" s="35" t="s">
        <v>352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6922.5900000000011</v>
      </c>
      <c r="V7" s="308">
        <f>IFERROR(_xlfn.XLOOKUP(PA_8[[#This Row],[Affected Equipment ]],'Basic Data'!$P:$P,'Basic Data'!$T:$T),"")</f>
        <v>5.3354117211826015E-2</v>
      </c>
      <c r="W7" s="293" t="s">
        <v>390</v>
      </c>
      <c r="X7" s="150" t="s">
        <v>1072</v>
      </c>
      <c r="Y7" s="150" t="s">
        <v>1073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1074</v>
      </c>
      <c r="AI7" s="149" t="s">
        <v>366</v>
      </c>
      <c r="AJ7" s="37">
        <f>IFERROR(PA_8[[#This Row],[Breakdown Time]]*PA_8[[#This Row],[Plant Equivalent Weightage]],"")</f>
        <v>4.0015587908869513E-2</v>
      </c>
      <c r="AK7" s="38">
        <v>0.13200000000000001</v>
      </c>
      <c r="AL7" s="151">
        <f>U7*PA_8[[#This Row],[Lost PoA(Wh/m2)]]*81.6%</f>
        <v>745.6460140800001</v>
      </c>
      <c r="AM7" s="151"/>
    </row>
    <row r="8" spans="1:39">
      <c r="A8" s="147">
        <v>7</v>
      </c>
      <c r="B8" s="148">
        <v>45759</v>
      </c>
      <c r="C8" s="180">
        <f>YEAR(PA_8[[#This Row],[Date]])+IF(MONTH(PA_8[[#This Row],[Date]])&gt;=4,1,0)</f>
        <v>2026</v>
      </c>
      <c r="D8" s="34">
        <f>YEAR(PA_8[[#This Row],[Date]])</f>
        <v>2025</v>
      </c>
      <c r="E8" s="149" t="s">
        <v>324</v>
      </c>
      <c r="F8" s="149" t="s">
        <v>324</v>
      </c>
      <c r="G8" s="169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49" t="s">
        <v>422</v>
      </c>
      <c r="M8" s="35"/>
      <c r="N8" s="35"/>
      <c r="O8" s="38"/>
      <c r="P8" s="38"/>
      <c r="Q8" s="35" t="s">
        <v>352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10358.51</v>
      </c>
      <c r="V8" s="308">
        <f>IFERROR(_xlfn.XLOOKUP(PA_8[[#This Row],[Affected Equipment ]],'Basic Data'!$P:$P,'Basic Data'!$T:$T),"")</f>
        <v>7.9835604402380009E-2</v>
      </c>
      <c r="W8" s="293" t="s">
        <v>390</v>
      </c>
      <c r="X8" s="150" t="s">
        <v>1072</v>
      </c>
      <c r="Y8" s="150" t="s">
        <v>1073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1074</v>
      </c>
      <c r="AI8" s="149" t="s">
        <v>366</v>
      </c>
      <c r="AJ8" s="37">
        <f>IFERROR(PA_8[[#This Row],[Breakdown Time]]*PA_8[[#This Row],[Plant Equivalent Weightage]],"")</f>
        <v>5.9876703301785003E-2</v>
      </c>
      <c r="AK8" s="38">
        <v>0.13200000000000001</v>
      </c>
      <c r="AL8" s="151">
        <f>U8*PA_8[[#This Row],[Lost PoA(Wh/m2)]]*81.6%</f>
        <v>1115.7358291200001</v>
      </c>
      <c r="AM8" s="151"/>
    </row>
    <row r="9" spans="1:39">
      <c r="A9" s="147">
        <v>8</v>
      </c>
      <c r="B9" s="148">
        <v>45760</v>
      </c>
      <c r="C9" s="180">
        <f>YEAR(PA_8[[#This Row],[Date]])+IF(MONTH(PA_8[[#This Row],[Date]])&gt;=4,1,0)</f>
        <v>2026</v>
      </c>
      <c r="D9" s="34">
        <f>YEAR(PA_8[[#This Row],[Date]])</f>
        <v>2025</v>
      </c>
      <c r="E9" s="149" t="s">
        <v>324</v>
      </c>
      <c r="F9" s="149" t="s">
        <v>324</v>
      </c>
      <c r="G9" s="169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49"/>
      <c r="M9" s="35"/>
      <c r="N9" s="35"/>
      <c r="O9" s="38"/>
      <c r="P9" s="38"/>
      <c r="Q9" s="35" t="s">
        <v>399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08">
        <f>IFERROR(_xlfn.XLOOKUP(PA_8[[#This Row],[Affected Equipment ]],'Basic Data'!$P:$P,'Basic Data'!$T:$T),"")</f>
        <v>0.94110121157936932</v>
      </c>
      <c r="W9" s="293" t="s">
        <v>395</v>
      </c>
      <c r="X9" s="150" t="s">
        <v>1075</v>
      </c>
      <c r="Y9" s="150" t="s">
        <v>1076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1077</v>
      </c>
      <c r="AI9" s="149" t="s">
        <v>366</v>
      </c>
      <c r="AJ9" s="37">
        <f>IFERROR(PA_8[[#This Row],[Breakdown Time]]*PA_8[[#This Row],[Plant Equivalent Weightage]],"")</f>
        <v>0.40781052501772524</v>
      </c>
      <c r="AK9" s="38">
        <v>0.18013000000000001</v>
      </c>
      <c r="AL9" s="151">
        <f>U9*PA_8[[#This Row],[Lost PoA(Wh/m2)]]*81.6%</f>
        <v>17947.882284479998</v>
      </c>
      <c r="AM9" s="151"/>
    </row>
    <row r="10" spans="1:39">
      <c r="A10" s="147">
        <v>9</v>
      </c>
      <c r="B10" s="148">
        <v>45761</v>
      </c>
      <c r="C10" s="180">
        <f>YEAR(PA_8[[#This Row],[Date]])+IF(MONTH(PA_8[[#This Row],[Date]])&gt;=4,1,0)</f>
        <v>2026</v>
      </c>
      <c r="D10" s="34">
        <f>YEAR(PA_8[[#This Row],[Date]])</f>
        <v>2025</v>
      </c>
      <c r="E10" s="149" t="s">
        <v>324</v>
      </c>
      <c r="F10" s="149" t="s">
        <v>324</v>
      </c>
      <c r="G10" s="169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49" t="s">
        <v>407</v>
      </c>
      <c r="M10" s="35" t="s">
        <v>348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4242.7</v>
      </c>
      <c r="V10" s="308">
        <f>IFERROR(_xlfn.XLOOKUP(PA_8[[#This Row],[Affected Equipment ]],'Basic Data'!$P:$P,'Basic Data'!$T:$T),"")</f>
        <v>3.2699540648025403E-2</v>
      </c>
      <c r="W10" s="293" t="s">
        <v>328</v>
      </c>
      <c r="X10" s="150" t="s">
        <v>1070</v>
      </c>
      <c r="Y10" s="150" t="s">
        <v>1078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1079</v>
      </c>
      <c r="AI10" s="149" t="s">
        <v>358</v>
      </c>
      <c r="AJ10" s="37">
        <f>IFERROR(PA_8[[#This Row],[Breakdown Time]]*PA_8[[#This Row],[Plant Equivalent Weightage]],"")</f>
        <v>0.39239448777630481</v>
      </c>
      <c r="AK10" s="38">
        <v>7</v>
      </c>
      <c r="AL10" s="151">
        <f>U10*PA_8[[#This Row],[Lost PoA(Wh/m2)]]*81.6%</f>
        <v>24234.302399999997</v>
      </c>
      <c r="AM10" s="151"/>
    </row>
    <row r="11" spans="1:39">
      <c r="A11" s="147">
        <v>10</v>
      </c>
      <c r="B11" s="148">
        <v>45762</v>
      </c>
      <c r="C11" s="180">
        <f>YEAR(PA_8[[#This Row],[Date]])+IF(MONTH(PA_8[[#This Row],[Date]])&gt;=4,1,0)</f>
        <v>2026</v>
      </c>
      <c r="D11" s="34">
        <f>YEAR(PA_8[[#This Row],[Date]])</f>
        <v>2025</v>
      </c>
      <c r="E11" s="149" t="s">
        <v>324</v>
      </c>
      <c r="F11" s="149" t="s">
        <v>324</v>
      </c>
      <c r="G11" s="169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49" t="s">
        <v>407</v>
      </c>
      <c r="M11" s="35" t="s">
        <v>348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4242.7</v>
      </c>
      <c r="V11" s="308">
        <f>IFERROR(_xlfn.XLOOKUP(PA_8[[#This Row],[Affected Equipment ]],'Basic Data'!$P:$P,'Basic Data'!$T:$T),"")</f>
        <v>3.2699540648025403E-2</v>
      </c>
      <c r="W11" s="293" t="s">
        <v>328</v>
      </c>
      <c r="X11" s="150" t="s">
        <v>1070</v>
      </c>
      <c r="Y11" s="150" t="s">
        <v>1078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1079</v>
      </c>
      <c r="AI11" s="149" t="s">
        <v>358</v>
      </c>
      <c r="AJ11" s="37">
        <f>IFERROR(PA_8[[#This Row],[Breakdown Time]]*PA_8[[#This Row],[Plant Equivalent Weightage]],"")</f>
        <v>0.39130450308803733</v>
      </c>
      <c r="AK11" s="38">
        <v>7</v>
      </c>
      <c r="AL11" s="151">
        <f>U11*PA_8[[#This Row],[Lost PoA(Wh/m2)]]*81.6%</f>
        <v>24234.302399999997</v>
      </c>
      <c r="AM11" s="151"/>
    </row>
    <row r="12" spans="1:39">
      <c r="A12" s="147">
        <v>11</v>
      </c>
      <c r="B12" s="148">
        <v>45763</v>
      </c>
      <c r="C12" s="180">
        <f>YEAR(PA_8[[#This Row],[Date]])+IF(MONTH(PA_8[[#This Row],[Date]])&gt;=4,1,0)</f>
        <v>2026</v>
      </c>
      <c r="D12" s="34">
        <f>YEAR(PA_8[[#This Row],[Date]])</f>
        <v>2025</v>
      </c>
      <c r="E12" s="149" t="s">
        <v>324</v>
      </c>
      <c r="F12" s="149" t="s">
        <v>324</v>
      </c>
      <c r="G12" s="169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49" t="s">
        <v>407</v>
      </c>
      <c r="M12" s="35" t="s">
        <v>348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4242.7</v>
      </c>
      <c r="V12" s="308">
        <f>IFERROR(_xlfn.XLOOKUP(PA_8[[#This Row],[Affected Equipment ]],'Basic Data'!$P:$P,'Basic Data'!$T:$T),"")</f>
        <v>3.2699540648025403E-2</v>
      </c>
      <c r="W12" s="293" t="s">
        <v>328</v>
      </c>
      <c r="X12" s="150" t="s">
        <v>1070</v>
      </c>
      <c r="Y12" s="150" t="s">
        <v>1078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1079</v>
      </c>
      <c r="AI12" s="149" t="s">
        <v>358</v>
      </c>
      <c r="AJ12" s="37">
        <f>IFERROR(PA_8[[#This Row],[Breakdown Time]]*PA_8[[#This Row],[Plant Equivalent Weightage]],"")</f>
        <v>0.38639957199083352</v>
      </c>
      <c r="AK12" s="38">
        <v>6</v>
      </c>
      <c r="AL12" s="151">
        <f>U12*PA_8[[#This Row],[Lost PoA(Wh/m2)]]*81.6%</f>
        <v>20772.259199999997</v>
      </c>
      <c r="AM12" s="151"/>
    </row>
    <row r="13" spans="1:39">
      <c r="A13" s="147">
        <v>12</v>
      </c>
      <c r="B13" s="148">
        <v>45764</v>
      </c>
      <c r="C13" s="180">
        <f>YEAR(PA_8[[#This Row],[Date]])+IF(MONTH(PA_8[[#This Row],[Date]])&gt;=4,1,0)</f>
        <v>2026</v>
      </c>
      <c r="D13" s="34">
        <f>YEAR(PA_8[[#This Row],[Date]])</f>
        <v>2025</v>
      </c>
      <c r="E13" s="149" t="s">
        <v>324</v>
      </c>
      <c r="F13" s="149" t="s">
        <v>324</v>
      </c>
      <c r="G13" s="169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49" t="s">
        <v>374</v>
      </c>
      <c r="M13" s="35" t="s">
        <v>348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3898.9049999999988</v>
      </c>
      <c r="V13" s="308">
        <f>IFERROR(_xlfn.XLOOKUP(PA_8[[#This Row],[Affected Equipment ]],'Basic Data'!$P:$P,'Basic Data'!$T:$T),"")</f>
        <v>3.0049827357647125E-2</v>
      </c>
      <c r="W13" s="293" t="s">
        <v>328</v>
      </c>
      <c r="X13" s="150" t="s">
        <v>1080</v>
      </c>
      <c r="Y13" s="294" t="s">
        <v>1081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294" t="s">
        <v>1082</v>
      </c>
      <c r="AI13" s="149" t="s">
        <v>366</v>
      </c>
      <c r="AJ13" s="37">
        <f>IFERROR(PA_8[[#This Row],[Breakdown Time]]*PA_8[[#This Row],[Plant Equivalent Weightage]],"")</f>
        <v>2.4039861886117696E-2</v>
      </c>
      <c r="AK13" s="38">
        <v>0.156</v>
      </c>
      <c r="AL13" s="151">
        <f>U13*PA_8[[#This Row],[Lost PoA(Wh/m2)]]*81.6%</f>
        <v>496.31501087999982</v>
      </c>
      <c r="AM13" s="151"/>
    </row>
    <row r="14" spans="1:39">
      <c r="A14" s="147">
        <v>13</v>
      </c>
      <c r="B14" s="148">
        <v>45769</v>
      </c>
      <c r="C14" s="180">
        <f>YEAR(PA_8[[#This Row],[Date]])+IF(MONTH(PA_8[[#This Row],[Date]])&gt;=4,1,0)</f>
        <v>2026</v>
      </c>
      <c r="D14" s="34">
        <f>YEAR(PA_8[[#This Row],[Date]])</f>
        <v>2025</v>
      </c>
      <c r="E14" s="149" t="s">
        <v>324</v>
      </c>
      <c r="F14" s="149" t="s">
        <v>324</v>
      </c>
      <c r="G14" s="169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49" t="s">
        <v>407</v>
      </c>
      <c r="M14" s="35" t="s">
        <v>348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4242.7</v>
      </c>
      <c r="V14" s="308">
        <f>IFERROR(_xlfn.XLOOKUP(PA_8[[#This Row],[Affected Equipment ]],'Basic Data'!$P:$P,'Basic Data'!$T:$T),"")</f>
        <v>3.2699540648025403E-2</v>
      </c>
      <c r="W14" s="293" t="s">
        <v>328</v>
      </c>
      <c r="X14" s="150" t="s">
        <v>1070</v>
      </c>
      <c r="Y14" s="294" t="s">
        <v>1083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294" t="s">
        <v>1084</v>
      </c>
      <c r="AI14" s="149" t="s">
        <v>366</v>
      </c>
      <c r="AJ14" s="37">
        <f>IFERROR(PA_8[[#This Row],[Breakdown Time]]*PA_8[[#This Row],[Plant Equivalent Weightage]],"")</f>
        <v>-6.5399081296051006E-3</v>
      </c>
      <c r="AK14" s="38">
        <v>3.83</v>
      </c>
      <c r="AL14" s="151">
        <f>U14*PA_8[[#This Row],[Lost PoA(Wh/m2)]]*81.6%</f>
        <v>13259.625455999998</v>
      </c>
      <c r="AM14" s="151"/>
    </row>
    <row r="15" spans="1:39">
      <c r="A15" s="147">
        <v>14</v>
      </c>
      <c r="B15" s="148">
        <v>45772</v>
      </c>
      <c r="C15" s="180">
        <f>YEAR(PA_8[[#This Row],[Date]])+IF(MONTH(PA_8[[#This Row],[Date]])&gt;=4,1,0)</f>
        <v>2026</v>
      </c>
      <c r="D15" s="34">
        <f>YEAR(PA_8[[#This Row],[Date]])</f>
        <v>2025</v>
      </c>
      <c r="E15" s="149" t="s">
        <v>324</v>
      </c>
      <c r="F15" s="149" t="s">
        <v>324</v>
      </c>
      <c r="G15" s="169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49" t="s">
        <v>407</v>
      </c>
      <c r="M15" s="35" t="s">
        <v>348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4242.7</v>
      </c>
      <c r="V15" s="308">
        <f>IFERROR(_xlfn.XLOOKUP(PA_8[[#This Row],[Affected Equipment ]],'Basic Data'!$P:$P,'Basic Data'!$T:$T),"")</f>
        <v>3.2699540648025403E-2</v>
      </c>
      <c r="W15" s="293" t="s">
        <v>328</v>
      </c>
      <c r="X15" s="150" t="s">
        <v>1070</v>
      </c>
      <c r="Y15" s="150" t="s">
        <v>1078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294" t="s">
        <v>1084</v>
      </c>
      <c r="AI15" s="149"/>
      <c r="AJ15" s="37">
        <f>IFERROR(PA_8[[#This Row],[Breakdown Time]]*PA_8[[#This Row],[Plant Equivalent Weightage]],"")</f>
        <v>5.231926503684068E-2</v>
      </c>
      <c r="AK15" s="38">
        <v>0.8407</v>
      </c>
      <c r="AL15" s="151">
        <f>U15*PA_8[[#This Row],[Lost PoA(Wh/m2)]]*81.6%</f>
        <v>2910.5397182399997</v>
      </c>
      <c r="AM15" s="151"/>
    </row>
    <row r="16" spans="1:39">
      <c r="A16" s="147">
        <v>15</v>
      </c>
      <c r="B16" s="148">
        <v>45772</v>
      </c>
      <c r="C16" s="180">
        <f>YEAR(PA_8[[#This Row],[Date]])+IF(MONTH(PA_8[[#This Row],[Date]])&gt;=4,1,0)</f>
        <v>2026</v>
      </c>
      <c r="D16" s="34">
        <f>YEAR(PA_8[[#This Row],[Date]])</f>
        <v>2025</v>
      </c>
      <c r="E16" s="149" t="s">
        <v>324</v>
      </c>
      <c r="F16" s="149" t="s">
        <v>324</v>
      </c>
      <c r="G16" s="169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49" t="s">
        <v>374</v>
      </c>
      <c r="M16" s="35" t="s">
        <v>375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08">
        <f>IFERROR(_xlfn.XLOOKUP(PA_8[[#This Row],[Affected Equipment ]],'Basic Data'!$P:$P,'Basic Data'!$T:$T),"")</f>
        <v>3.3864028732620163E-2</v>
      </c>
      <c r="W16" s="293" t="s">
        <v>328</v>
      </c>
      <c r="X16" s="150" t="s">
        <v>1080</v>
      </c>
      <c r="Y16" s="294" t="s">
        <v>1081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294" t="s">
        <v>1082</v>
      </c>
      <c r="AI16" s="149"/>
      <c r="AJ16" s="37">
        <f>IFERROR(PA_8[[#This Row],[Breakdown Time]]*PA_8[[#This Row],[Plant Equivalent Weightage]],"")</f>
        <v>7.3372062254010093E-3</v>
      </c>
      <c r="AK16" s="38">
        <v>0.16489999999999999</v>
      </c>
      <c r="AL16" s="151">
        <f>U16*PA_8[[#This Row],[Lost PoA(Wh/m2)]]*81.6%</f>
        <v>591.22135233600011</v>
      </c>
      <c r="AM16" s="151"/>
    </row>
    <row r="17" spans="1:39">
      <c r="A17" s="147">
        <v>16</v>
      </c>
      <c r="B17" s="148">
        <v>45775</v>
      </c>
      <c r="C17" s="180">
        <f>YEAR(PA_8[[#This Row],[Date]])+IF(MONTH(PA_8[[#This Row],[Date]])&gt;=4,1,0)</f>
        <v>2026</v>
      </c>
      <c r="D17" s="34">
        <f>YEAR(PA_8[[#This Row],[Date]])</f>
        <v>2025</v>
      </c>
      <c r="E17" s="149" t="s">
        <v>324</v>
      </c>
      <c r="F17" s="149" t="s">
        <v>324</v>
      </c>
      <c r="G17" s="169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49" t="s">
        <v>407</v>
      </c>
      <c r="M17" s="35" t="s">
        <v>368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4511.3849999999993</v>
      </c>
      <c r="V17" s="308">
        <f>IFERROR(_xlfn.XLOOKUP(PA_8[[#This Row],[Affected Equipment ]],'Basic Data'!$P:$P,'Basic Data'!$T:$T),"")</f>
        <v>3.4770362548941024E-2</v>
      </c>
      <c r="W17" s="293" t="s">
        <v>328</v>
      </c>
      <c r="X17" s="150" t="s">
        <v>1085</v>
      </c>
      <c r="Y17" s="294" t="s">
        <v>1086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294" t="s">
        <v>1087</v>
      </c>
      <c r="AI17" s="149"/>
      <c r="AJ17" s="37">
        <f>IFERROR(PA_8[[#This Row],[Breakdown Time]]*PA_8[[#This Row],[Plant Equivalent Weightage]],"")</f>
        <v>9.0982448669729016E-2</v>
      </c>
      <c r="AK17" s="38">
        <v>0.88800000000000001</v>
      </c>
      <c r="AL17" s="151">
        <f>U17*PA_8[[#This Row],[Lost PoA(Wh/m2)]]*81.6%</f>
        <v>3268.9856620799992</v>
      </c>
      <c r="AM17" s="151"/>
    </row>
    <row r="18" spans="1:39">
      <c r="A18" s="147">
        <v>17</v>
      </c>
      <c r="B18" s="148">
        <v>45776</v>
      </c>
      <c r="C18" s="180">
        <f>YEAR(PA_8[[#This Row],[Date]])+IF(MONTH(PA_8[[#This Row],[Date]])&gt;=4,1,0)</f>
        <v>2026</v>
      </c>
      <c r="D18" s="34">
        <f>YEAR(PA_8[[#This Row],[Date]])</f>
        <v>2025</v>
      </c>
      <c r="E18" s="149" t="s">
        <v>324</v>
      </c>
      <c r="F18" s="149" t="s">
        <v>324</v>
      </c>
      <c r="G18" s="169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49" t="s">
        <v>359</v>
      </c>
      <c r="M18" s="35"/>
      <c r="N18" s="35"/>
      <c r="O18" s="38"/>
      <c r="P18" s="38"/>
      <c r="Q18" s="35" t="s">
        <v>352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12749.414999999997</v>
      </c>
      <c r="V18" s="308">
        <f>IFERROR(_xlfn.XLOOKUP(PA_8[[#This Row],[Affected Equipment ]],'Basic Data'!$P:$P,'Basic Data'!$T:$T),"")</f>
        <v>9.8262901932977764E-2</v>
      </c>
      <c r="W18" s="293" t="s">
        <v>390</v>
      </c>
      <c r="X18" s="150" t="s">
        <v>1088</v>
      </c>
      <c r="Y18" s="294" t="s">
        <v>1089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294" t="s">
        <v>1090</v>
      </c>
      <c r="AI18" s="149" t="s">
        <v>366</v>
      </c>
      <c r="AJ18" s="37">
        <f>IFERROR(PA_8[[#This Row],[Breakdown Time]]*PA_8[[#This Row],[Plant Equivalent Weightage]],"")</f>
        <v>2.7841155547676934E-2</v>
      </c>
      <c r="AK18" s="38">
        <v>0.2974</v>
      </c>
      <c r="AL18" s="151">
        <f>U18*PA_8[[#This Row],[Lost PoA(Wh/m2)]]*81.6%</f>
        <v>3094.0076331359992</v>
      </c>
      <c r="AM18" s="151"/>
    </row>
    <row r="19" spans="1:39">
      <c r="A19" s="147">
        <v>18</v>
      </c>
      <c r="B19" s="148">
        <v>45776</v>
      </c>
      <c r="C19" s="180">
        <f>YEAR(PA_8[[#This Row],[Date]])+IF(MONTH(PA_8[[#This Row],[Date]])&gt;=4,1,0)</f>
        <v>2026</v>
      </c>
      <c r="D19" s="34">
        <f>YEAR(PA_8[[#This Row],[Date]])</f>
        <v>2025</v>
      </c>
      <c r="E19" s="149" t="s">
        <v>324</v>
      </c>
      <c r="F19" s="149" t="s">
        <v>324</v>
      </c>
      <c r="G19" s="169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49" t="s">
        <v>367</v>
      </c>
      <c r="M19" s="35"/>
      <c r="N19" s="35"/>
      <c r="O19" s="38"/>
      <c r="P19" s="38"/>
      <c r="Q19" s="35" t="s">
        <v>352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9008.5600000000031</v>
      </c>
      <c r="V19" s="308">
        <f>IFERROR(_xlfn.XLOOKUP(PA_8[[#This Row],[Affected Equipment ]],'Basic Data'!$P:$P,'Basic Data'!$T:$T),"")</f>
        <v>6.9431205105281044E-2</v>
      </c>
      <c r="W19" s="293" t="s">
        <v>390</v>
      </c>
      <c r="X19" s="150" t="s">
        <v>1088</v>
      </c>
      <c r="Y19" s="294" t="s">
        <v>1089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294" t="s">
        <v>1090</v>
      </c>
      <c r="AI19" s="149" t="s">
        <v>366</v>
      </c>
      <c r="AJ19" s="37">
        <f>IFERROR(PA_8[[#This Row],[Breakdown Time]]*PA_8[[#This Row],[Plant Equivalent Weightage]],"")</f>
        <v>1.7357801276320198E-2</v>
      </c>
      <c r="AK19" s="38">
        <v>0.25650000000000001</v>
      </c>
      <c r="AL19" s="151">
        <f>U19*PA_8[[#This Row],[Lost PoA(Wh/m2)]]*81.6%</f>
        <v>1885.5276422400007</v>
      </c>
      <c r="AM19" s="151"/>
    </row>
    <row r="20" spans="1:39">
      <c r="A20" s="147">
        <v>19</v>
      </c>
      <c r="B20" s="148">
        <v>45777</v>
      </c>
      <c r="C20" s="180">
        <f>YEAR(PA_8[[#This Row],[Date]])+IF(MONTH(PA_8[[#This Row],[Date]])&gt;=4,1,0)</f>
        <v>2026</v>
      </c>
      <c r="D20" s="34">
        <f>YEAR(PA_8[[#This Row],[Date]])</f>
        <v>2025</v>
      </c>
      <c r="E20" s="149" t="s">
        <v>324</v>
      </c>
      <c r="F20" s="149" t="s">
        <v>324</v>
      </c>
      <c r="G20" s="169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49" t="s">
        <v>380</v>
      </c>
      <c r="M20" s="35"/>
      <c r="N20" s="35"/>
      <c r="O20" s="38"/>
      <c r="P20" s="38"/>
      <c r="Q20" s="35" t="s">
        <v>352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7352.9500000000016</v>
      </c>
      <c r="V20" s="308">
        <f>IFERROR(_xlfn.XLOOKUP(PA_8[[#This Row],[Affected Equipment ]],'Basic Data'!$P:$P,'Basic Data'!$T:$T),"")</f>
        <v>5.6671008416314721E-2</v>
      </c>
      <c r="W20" s="293" t="s">
        <v>390</v>
      </c>
      <c r="X20" s="150" t="s">
        <v>1088</v>
      </c>
      <c r="Y20" s="294" t="s">
        <v>1089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294" t="s">
        <v>1090</v>
      </c>
      <c r="AI20" s="149" t="s">
        <v>366</v>
      </c>
      <c r="AJ20" s="37">
        <f>IFERROR(PA_8[[#This Row],[Breakdown Time]]*PA_8[[#This Row],[Plant Equivalent Weightage]],"")</f>
        <v>3.4002605049788866E-2</v>
      </c>
      <c r="AK20" s="38">
        <v>0.60880000000000001</v>
      </c>
      <c r="AL20" s="151">
        <f>U20*PA_8[[#This Row],[Lost PoA(Wh/m2)]]*81.6%</f>
        <v>3652.8043833600004</v>
      </c>
      <c r="AM20" s="151"/>
    </row>
    <row r="21" spans="1:39">
      <c r="A21" s="147">
        <v>20</v>
      </c>
      <c r="B21" s="148">
        <v>45778</v>
      </c>
      <c r="C21" s="180">
        <f>YEAR(PA_8[[#This Row],[Date]])+IF(MONTH(PA_8[[#This Row],[Date]])&gt;=4,1,0)</f>
        <v>2026</v>
      </c>
      <c r="D21" s="34">
        <f>YEAR(PA_8[[#This Row],[Date]])</f>
        <v>2025</v>
      </c>
      <c r="E21" s="149" t="s">
        <v>324</v>
      </c>
      <c r="F21" s="149" t="s">
        <v>324</v>
      </c>
      <c r="G21" s="169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49" t="s">
        <v>407</v>
      </c>
      <c r="M21" s="35" t="s">
        <v>1091</v>
      </c>
      <c r="N21" s="35" t="s">
        <v>349</v>
      </c>
      <c r="O21" s="38" t="s">
        <v>382</v>
      </c>
      <c r="P21" s="38" t="s">
        <v>378</v>
      </c>
      <c r="Q21" s="35" t="s">
        <v>394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08">
        <f>IFERROR(_xlfn.XLOOKUP(PA_8[[#This Row],[Affected Equipment ]],'Basic Data'!$P:$P,'Basic Data'!$T:$T),"")</f>
        <v>2.4139100410025592E-4</v>
      </c>
      <c r="W21" s="293" t="s">
        <v>1093</v>
      </c>
      <c r="X21" s="150" t="s">
        <v>1094</v>
      </c>
      <c r="Y21" s="294" t="s">
        <v>1095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13" t="s">
        <v>1278</v>
      </c>
      <c r="AI21" s="149" t="s">
        <v>366</v>
      </c>
      <c r="AJ21" s="37">
        <f>IFERROR(PA_8[[#This Row],[Breakdown Time]]*PA_8[[#This Row],[Plant Equivalent Weightage]],"")</f>
        <v>9.2533218238431431E-4</v>
      </c>
      <c r="AK21" s="38">
        <v>1.23</v>
      </c>
      <c r="AL21" s="151">
        <f>U21*PA_8[[#This Row],[Lost PoA(Wh/m2)]]*81.6%</f>
        <v>31.4352576</v>
      </c>
      <c r="AM21" s="151"/>
    </row>
    <row r="22" spans="1:39">
      <c r="A22" s="147">
        <v>21</v>
      </c>
      <c r="B22" s="148">
        <v>45780</v>
      </c>
      <c r="C22" s="180">
        <f>YEAR(PA_8[[#This Row],[Date]])+IF(MONTH(PA_8[[#This Row],[Date]])&gt;=4,1,0)</f>
        <v>2026</v>
      </c>
      <c r="D22" s="34">
        <f>YEAR(PA_8[[#This Row],[Date]])</f>
        <v>2025</v>
      </c>
      <c r="E22" s="149" t="s">
        <v>324</v>
      </c>
      <c r="F22" s="149" t="s">
        <v>324</v>
      </c>
      <c r="G22" s="169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49" t="s">
        <v>385</v>
      </c>
      <c r="M22" s="35"/>
      <c r="N22" s="35"/>
      <c r="O22" s="38"/>
      <c r="P22" s="38"/>
      <c r="Q22" s="35" t="s">
        <v>352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7464.6000000000013</v>
      </c>
      <c r="V22" s="308">
        <f>IFERROR(_xlfn.XLOOKUP(PA_8[[#This Row],[Affected Equipment ]],'Basic Data'!$P:$P,'Basic Data'!$T:$T),"")</f>
        <v>5.7531522643894335E-2</v>
      </c>
      <c r="W22" s="293" t="s">
        <v>390</v>
      </c>
      <c r="X22" s="150" t="s">
        <v>1088</v>
      </c>
      <c r="Y22" s="294" t="s">
        <v>1089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294" t="s">
        <v>1090</v>
      </c>
      <c r="AI22" s="149" t="s">
        <v>366</v>
      </c>
      <c r="AJ22" s="37">
        <f>IFERROR(PA_8[[#This Row],[Breakdown Time]]*PA_8[[#This Row],[Plant Equivalent Weightage]],"")</f>
        <v>3.6436631007799772E-2</v>
      </c>
      <c r="AK22" s="38">
        <v>0.64659999999999995</v>
      </c>
      <c r="AL22" s="151">
        <f>U22*PA_8[[#This Row],[Lost PoA(Wh/m2)]]*81.6%</f>
        <v>3938.51405376</v>
      </c>
      <c r="AM22" s="151"/>
    </row>
    <row r="23" spans="1:39">
      <c r="A23" s="147">
        <v>22</v>
      </c>
      <c r="B23" s="148">
        <v>45781</v>
      </c>
      <c r="C23" s="180">
        <f>YEAR(PA_8[[#This Row],[Date]])+IF(MONTH(PA_8[[#This Row],[Date]])&gt;=4,1,0)</f>
        <v>2026</v>
      </c>
      <c r="D23" s="34">
        <f>YEAR(PA_8[[#This Row],[Date]])</f>
        <v>2025</v>
      </c>
      <c r="E23" s="149" t="s">
        <v>324</v>
      </c>
      <c r="F23" s="149" t="s">
        <v>324</v>
      </c>
      <c r="G23" s="169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49" t="s">
        <v>374</v>
      </c>
      <c r="M23" s="35"/>
      <c r="N23" s="35"/>
      <c r="O23" s="38"/>
      <c r="P23" s="38"/>
      <c r="Q23" s="35" t="s">
        <v>352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17086.509999999998</v>
      </c>
      <c r="V23" s="308">
        <f>IFERROR(_xlfn.XLOOKUP(PA_8[[#This Row],[Affected Equipment ]],'Basic Data'!$P:$P,'Basic Data'!$T:$T),"")</f>
        <v>0.13168996824613868</v>
      </c>
      <c r="W23" s="293" t="s">
        <v>390</v>
      </c>
      <c r="X23" s="150" t="s">
        <v>1088</v>
      </c>
      <c r="Y23" s="294" t="s">
        <v>1089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294" t="s">
        <v>1090</v>
      </c>
      <c r="AI23" s="149" t="s">
        <v>366</v>
      </c>
      <c r="AJ23" s="37">
        <f>IFERROR(PA_8[[#This Row],[Breakdown Time]]*PA_8[[#This Row],[Plant Equivalent Weightage]],"")</f>
        <v>1.9753495236920732E-2</v>
      </c>
      <c r="AK23" s="38">
        <v>0.17829999999999999</v>
      </c>
      <c r="AL23" s="151">
        <f>U23*PA_8[[#This Row],[Lost PoA(Wh/m2)]]*81.6%</f>
        <v>2485.9641821279993</v>
      </c>
      <c r="AM23" s="151"/>
    </row>
    <row r="24" spans="1:39">
      <c r="A24" s="147">
        <v>23</v>
      </c>
      <c r="B24" s="148">
        <v>45781</v>
      </c>
      <c r="C24" s="180">
        <f>YEAR(PA_8[[#This Row],[Date]])+IF(MONTH(PA_8[[#This Row],[Date]])&gt;=4,1,0)</f>
        <v>2026</v>
      </c>
      <c r="D24" s="34">
        <f>YEAR(PA_8[[#This Row],[Date]])</f>
        <v>2025</v>
      </c>
      <c r="E24" s="149" t="s">
        <v>324</v>
      </c>
      <c r="F24" s="149" t="s">
        <v>324</v>
      </c>
      <c r="G24" s="169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49" t="s">
        <v>391</v>
      </c>
      <c r="M24" s="35"/>
      <c r="N24" s="35"/>
      <c r="O24" s="38"/>
      <c r="P24" s="38"/>
      <c r="Q24" s="35" t="s">
        <v>352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08">
        <f>IFERROR(_xlfn.XLOOKUP(PA_8[[#This Row],[Affected Equipment ]],'Basic Data'!$P:$P,'Basic Data'!$T:$T),"")</f>
        <v>2.2900853963066875E-2</v>
      </c>
      <c r="W24" s="293" t="s">
        <v>390</v>
      </c>
      <c r="X24" s="150" t="s">
        <v>1088</v>
      </c>
      <c r="Y24" s="294" t="s">
        <v>1089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294" t="s">
        <v>1090</v>
      </c>
      <c r="AI24" s="149" t="s">
        <v>366</v>
      </c>
      <c r="AJ24" s="37">
        <f>IFERROR(PA_8[[#This Row],[Breakdown Time]]*PA_8[[#This Row],[Plant Equivalent Weightage]],"")</f>
        <v>1.1450426981533398E-2</v>
      </c>
      <c r="AK24" s="38">
        <v>0.4834</v>
      </c>
      <c r="AL24" s="151">
        <f>U24*PA_8[[#This Row],[Lost PoA(Wh/m2)]]*81.6%</f>
        <v>1172.0581368960002</v>
      </c>
      <c r="AM24" s="151"/>
    </row>
    <row r="25" spans="1:39">
      <c r="A25" s="147">
        <v>24</v>
      </c>
      <c r="B25" s="148">
        <v>45784</v>
      </c>
      <c r="C25" s="180">
        <f>YEAR(PA_8[[#This Row],[Date]])+IF(MONTH(PA_8[[#This Row],[Date]])&gt;=4,1,0)</f>
        <v>2026</v>
      </c>
      <c r="D25" s="34">
        <f>YEAR(PA_8[[#This Row],[Date]])</f>
        <v>2025</v>
      </c>
      <c r="E25" s="149" t="s">
        <v>324</v>
      </c>
      <c r="F25" s="149" t="s">
        <v>324</v>
      </c>
      <c r="G25" s="169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49" t="s">
        <v>396</v>
      </c>
      <c r="M25" s="35"/>
      <c r="N25" s="35"/>
      <c r="O25" s="38"/>
      <c r="P25" s="38"/>
      <c r="Q25" s="35" t="s">
        <v>352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08">
        <f>IFERROR(_xlfn.XLOOKUP(PA_8[[#This Row],[Affected Equipment ]],'Basic Data'!$P:$P,'Basic Data'!$T:$T),"")</f>
        <v>4.6185027900237395E-2</v>
      </c>
      <c r="W25" s="293" t="s">
        <v>390</v>
      </c>
      <c r="X25" s="150" t="s">
        <v>1088</v>
      </c>
      <c r="Y25" s="294" t="s">
        <v>1089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294" t="s">
        <v>1090</v>
      </c>
      <c r="AI25" s="149"/>
      <c r="AJ25" s="37">
        <f>IFERROR(PA_8[[#This Row],[Breakdown Time]]*PA_8[[#This Row],[Plant Equivalent Weightage]],"")</f>
        <v>0.60656336642311781</v>
      </c>
      <c r="AK25" s="38">
        <v>1.31</v>
      </c>
      <c r="AL25" s="151">
        <f>U25*PA_8[[#This Row],[Lost PoA(Wh/m2)]]*81.6%</f>
        <v>6405.6519384000012</v>
      </c>
      <c r="AM25" s="151"/>
    </row>
    <row r="26" spans="1:39">
      <c r="A26" s="147">
        <v>25</v>
      </c>
      <c r="B26" s="148">
        <v>45784</v>
      </c>
      <c r="C26" s="180">
        <f>YEAR(PA_8[[#This Row],[Date]])+IF(MONTH(PA_8[[#This Row],[Date]])&gt;=4,1,0)</f>
        <v>2026</v>
      </c>
      <c r="D26" s="34">
        <f>YEAR(PA_8[[#This Row],[Date]])</f>
        <v>2025</v>
      </c>
      <c r="E26" s="149" t="s">
        <v>324</v>
      </c>
      <c r="F26" s="149" t="s">
        <v>324</v>
      </c>
      <c r="G26" s="169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49" t="s">
        <v>401</v>
      </c>
      <c r="M26" s="35"/>
      <c r="N26" s="35"/>
      <c r="O26" s="38"/>
      <c r="P26" s="38"/>
      <c r="Q26" s="35" t="s">
        <v>352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8329.2350000000042</v>
      </c>
      <c r="V26" s="308">
        <f>IFERROR(_xlfn.XLOOKUP(PA_8[[#This Row],[Affected Equipment ]],'Basic Data'!$P:$P,'Basic Data'!$T:$T),"")</f>
        <v>6.4195478928384286E-2</v>
      </c>
      <c r="W26" s="293" t="s">
        <v>390</v>
      </c>
      <c r="X26" s="150" t="s">
        <v>1088</v>
      </c>
      <c r="Y26" s="294" t="s">
        <v>1089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294" t="s">
        <v>1090</v>
      </c>
      <c r="AI26" s="149"/>
      <c r="AJ26" s="37">
        <f>IFERROR(PA_8[[#This Row],[Breakdown Time]]*PA_8[[#This Row],[Plant Equivalent Weightage]],"")</f>
        <v>0.93083444446157215</v>
      </c>
      <c r="AK26" s="38">
        <v>0.45889999999999997</v>
      </c>
      <c r="AL26" s="151">
        <f>U26*PA_8[[#This Row],[Lost PoA(Wh/m2)]]*81.6%</f>
        <v>3118.9853282640011</v>
      </c>
      <c r="AM26" s="151"/>
    </row>
    <row r="27" spans="1:39">
      <c r="A27" s="147">
        <v>26</v>
      </c>
      <c r="B27" s="148">
        <v>45786</v>
      </c>
      <c r="C27" s="180">
        <f>YEAR(PA_8[[#This Row],[Date]])+IF(MONTH(PA_8[[#This Row],[Date]])&gt;=4,1,0)</f>
        <v>2026</v>
      </c>
      <c r="D27" s="34">
        <f>YEAR(PA_8[[#This Row],[Date]])</f>
        <v>2025</v>
      </c>
      <c r="E27" s="149" t="s">
        <v>324</v>
      </c>
      <c r="F27" s="149" t="s">
        <v>324</v>
      </c>
      <c r="G27" s="169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49"/>
      <c r="M27" s="35"/>
      <c r="N27" s="35"/>
      <c r="O27" s="38"/>
      <c r="P27" s="38"/>
      <c r="Q27" s="35" t="s">
        <v>399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08">
        <f>IFERROR(_xlfn.XLOOKUP(PA_8[[#This Row],[Affected Equipment ]],'Basic Data'!$P:$P,'Basic Data'!$T:$T),"")</f>
        <v>0.94110121157936932</v>
      </c>
      <c r="W27" s="293" t="s">
        <v>395</v>
      </c>
      <c r="X27" s="150" t="s">
        <v>1096</v>
      </c>
      <c r="Y27" s="150" t="s">
        <v>1076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1097</v>
      </c>
      <c r="AI27" s="149" t="s">
        <v>366</v>
      </c>
      <c r="AJ27" s="37">
        <f>IFERROR(PA_8[[#This Row],[Breakdown Time]]*PA_8[[#This Row],[Plant Equivalent Weightage]],"")</f>
        <v>0.29801538366679925</v>
      </c>
      <c r="AK27" s="38">
        <v>0.26390000000000002</v>
      </c>
      <c r="AL27" s="151">
        <f>U27*PA_8[[#This Row],[Lost PoA(Wh/m2)]]*81.6%</f>
        <v>26294.5990944</v>
      </c>
      <c r="AM27" s="151"/>
    </row>
    <row r="28" spans="1:39">
      <c r="A28" s="147">
        <v>27</v>
      </c>
      <c r="B28" s="148">
        <v>45793</v>
      </c>
      <c r="C28" s="180">
        <f>YEAR(PA_8[[#This Row],[Date]])+IF(MONTH(PA_8[[#This Row],[Date]])&gt;=4,1,0)</f>
        <v>2026</v>
      </c>
      <c r="D28" s="34">
        <f>YEAR(PA_8[[#This Row],[Date]])</f>
        <v>2025</v>
      </c>
      <c r="E28" s="149" t="s">
        <v>324</v>
      </c>
      <c r="F28" s="149" t="s">
        <v>324</v>
      </c>
      <c r="G28" s="169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49"/>
      <c r="M28" s="35"/>
      <c r="N28" s="35"/>
      <c r="O28" s="38"/>
      <c r="P28" s="38"/>
      <c r="Q28" s="35" t="s">
        <v>399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08">
        <f>IFERROR(_xlfn.XLOOKUP(PA_8[[#This Row],[Affected Equipment ]],'Basic Data'!$P:$P,'Basic Data'!$T:$T),"")</f>
        <v>0.94110121157936932</v>
      </c>
      <c r="W28" s="293" t="s">
        <v>395</v>
      </c>
      <c r="X28" s="150" t="s">
        <v>1096</v>
      </c>
      <c r="Y28" s="150" t="s">
        <v>1076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1098</v>
      </c>
      <c r="AI28" s="149" t="s">
        <v>366</v>
      </c>
      <c r="AJ28" s="37">
        <f>IFERROR(PA_8[[#This Row],[Breakdown Time]]*PA_8[[#This Row],[Plant Equivalent Weightage]],"")</f>
        <v>0.2352753028948415</v>
      </c>
      <c r="AK28" s="38">
        <v>0.11700000000000001</v>
      </c>
      <c r="AL28" s="151">
        <f>U28*PA_8[[#This Row],[Lost PoA(Wh/m2)]]*81.6%</f>
        <v>11657.704032</v>
      </c>
      <c r="AM28" s="151"/>
    </row>
    <row r="29" spans="1:39">
      <c r="A29" s="147">
        <v>28</v>
      </c>
      <c r="B29" s="148">
        <v>45795</v>
      </c>
      <c r="C29" s="180">
        <f>YEAR(PA_8[[#This Row],[Date]])+IF(MONTH(PA_8[[#This Row],[Date]])&gt;=4,1,0)</f>
        <v>2026</v>
      </c>
      <c r="D29" s="34">
        <f>YEAR(PA_8[[#This Row],[Date]])</f>
        <v>2025</v>
      </c>
      <c r="E29" s="149" t="s">
        <v>324</v>
      </c>
      <c r="F29" s="149" t="s">
        <v>324</v>
      </c>
      <c r="G29" s="169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49" t="s">
        <v>380</v>
      </c>
      <c r="M29" s="35"/>
      <c r="N29" s="35"/>
      <c r="O29" s="38"/>
      <c r="P29" s="38"/>
      <c r="Q29" s="35" t="s">
        <v>352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7352.9500000000016</v>
      </c>
      <c r="V29" s="308">
        <f>IFERROR(_xlfn.XLOOKUP(PA_8[[#This Row],[Affected Equipment ]],'Basic Data'!$P:$P,'Basic Data'!$T:$T),"")</f>
        <v>5.6671008416314721E-2</v>
      </c>
      <c r="W29" s="293" t="s">
        <v>390</v>
      </c>
      <c r="X29" s="150" t="s">
        <v>1088</v>
      </c>
      <c r="Y29" s="294" t="s">
        <v>1099</v>
      </c>
      <c r="Z29" s="39">
        <v>0.46458333333333335</v>
      </c>
      <c r="AA29" s="39"/>
      <c r="AB29" s="39">
        <v>0.4826388888888889</v>
      </c>
      <c r="AC29" s="260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1100</v>
      </c>
      <c r="AI29" s="149" t="s">
        <v>366</v>
      </c>
      <c r="AJ29" s="37">
        <f>IFERROR(PA_8[[#This Row],[Breakdown Time]]*PA_8[[#This Row],[Plant Equivalent Weightage]],"")</f>
        <v>5.1948424381621797E-2</v>
      </c>
      <c r="AK29" s="38">
        <v>0.83240000000000003</v>
      </c>
      <c r="AL29" s="151">
        <f>U29*PA_8[[#This Row],[Lost PoA(Wh/m2)]]*81.6%</f>
        <v>4994.405993280001</v>
      </c>
      <c r="AM29" s="151"/>
    </row>
    <row r="30" spans="1:39">
      <c r="A30" s="147">
        <v>29</v>
      </c>
      <c r="B30" s="148">
        <v>45796</v>
      </c>
      <c r="C30" s="180">
        <f>YEAR(PA_8[[#This Row],[Date]])+IF(MONTH(PA_8[[#This Row],[Date]])&gt;=4,1,0)</f>
        <v>2026</v>
      </c>
      <c r="D30" s="34">
        <f>YEAR(PA_8[[#This Row],[Date]])</f>
        <v>2025</v>
      </c>
      <c r="E30" s="149" t="s">
        <v>324</v>
      </c>
      <c r="F30" s="149" t="s">
        <v>324</v>
      </c>
      <c r="G30" s="169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49" t="s">
        <v>380</v>
      </c>
      <c r="M30" s="35"/>
      <c r="N30" s="35"/>
      <c r="O30" s="38"/>
      <c r="P30" s="38"/>
      <c r="Q30" s="35" t="s">
        <v>352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7352.9500000000016</v>
      </c>
      <c r="V30" s="308">
        <f>IFERROR(_xlfn.XLOOKUP(PA_8[[#This Row],[Affected Equipment ]],'Basic Data'!$P:$P,'Basic Data'!$T:$T),"")</f>
        <v>5.6671008416314721E-2</v>
      </c>
      <c r="W30" s="293" t="s">
        <v>390</v>
      </c>
      <c r="X30" s="150" t="s">
        <v>1088</v>
      </c>
      <c r="Y30" s="294" t="s">
        <v>1099</v>
      </c>
      <c r="Z30" s="260">
        <v>0.51597222222222228</v>
      </c>
      <c r="AA30" s="39"/>
      <c r="AB30" s="260">
        <v>0.51597222222222228</v>
      </c>
      <c r="AC30" s="260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1100</v>
      </c>
      <c r="AI30" s="149" t="s">
        <v>366</v>
      </c>
      <c r="AJ30" s="37">
        <f>IFERROR(PA_8[[#This Row],[Breakdown Time]]*PA_8[[#This Row],[Plant Equivalent Weightage]],"")</f>
        <v>3.8725189084480985E-2</v>
      </c>
      <c r="AK30" s="38">
        <v>0.59809999999999997</v>
      </c>
      <c r="AL30" s="151">
        <f>U30*PA_8[[#This Row],[Lost PoA(Wh/m2)]]*81.6%</f>
        <v>3588.6043063200004</v>
      </c>
      <c r="AM30" s="151"/>
    </row>
    <row r="31" spans="1:39">
      <c r="A31" s="147">
        <v>30</v>
      </c>
      <c r="B31" s="148">
        <v>45798</v>
      </c>
      <c r="C31" s="180">
        <f>YEAR(PA_8[[#This Row],[Date]])+IF(MONTH(PA_8[[#This Row],[Date]])&gt;=4,1,0)</f>
        <v>2026</v>
      </c>
      <c r="D31" s="34">
        <f>YEAR(PA_8[[#This Row],[Date]])</f>
        <v>2025</v>
      </c>
      <c r="E31" s="149" t="s">
        <v>324</v>
      </c>
      <c r="F31" s="149" t="s">
        <v>324</v>
      </c>
      <c r="G31" s="169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49" t="s">
        <v>407</v>
      </c>
      <c r="M31" s="35" t="s">
        <v>368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4511.3849999999993</v>
      </c>
      <c r="V31" s="308">
        <f>IFERROR(_xlfn.XLOOKUP(PA_8[[#This Row],[Affected Equipment ]],'Basic Data'!$P:$P,'Basic Data'!$T:$T),"")</f>
        <v>3.4770362548941024E-2</v>
      </c>
      <c r="W31" s="293" t="s">
        <v>328</v>
      </c>
      <c r="X31" s="261" t="s">
        <v>1101</v>
      </c>
      <c r="Y31" s="261" t="s">
        <v>1101</v>
      </c>
      <c r="Z31" s="260">
        <v>0.4201388888888889</v>
      </c>
      <c r="AA31" s="39"/>
      <c r="AB31" s="40">
        <v>0.77222222222222225</v>
      </c>
      <c r="AC31" s="260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1102</v>
      </c>
      <c r="AI31" s="149" t="s">
        <v>358</v>
      </c>
      <c r="AJ31" s="37">
        <f>IFERROR(PA_8[[#This Row],[Breakdown Time]]*PA_8[[#This Row],[Plant Equivalent Weightage]],"")</f>
        <v>-0.35060115570182199</v>
      </c>
      <c r="AK31" s="262">
        <v>4.938241274999994</v>
      </c>
      <c r="AL31" s="151">
        <f>U31*PA_8[[#This Row],[Lost PoA(Wh/m2)]]*81.6%</f>
        <v>18179.099013363328</v>
      </c>
      <c r="AM31" s="151"/>
    </row>
    <row r="32" spans="1:39">
      <c r="A32" s="147">
        <v>31</v>
      </c>
      <c r="B32" s="148">
        <v>45798</v>
      </c>
      <c r="C32" s="180">
        <f>YEAR(PA_8[[#This Row],[Date]])+IF(MONTH(PA_8[[#This Row],[Date]])&gt;=4,1,0)</f>
        <v>2026</v>
      </c>
      <c r="D32" s="34">
        <f>YEAR(PA_8[[#This Row],[Date]])</f>
        <v>2025</v>
      </c>
      <c r="E32" s="149" t="s">
        <v>324</v>
      </c>
      <c r="F32" s="149" t="s">
        <v>324</v>
      </c>
      <c r="G32" s="169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49" t="s">
        <v>407</v>
      </c>
      <c r="M32" s="35" t="s">
        <v>375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4574.7500000000009</v>
      </c>
      <c r="V32" s="311">
        <f>IFERROR(_xlfn.XLOOKUP(PA_8[[#This Row],[Affected Equipment ]],'Basic Data'!$P:$P,'Basic Data'!$T:$T),"")</f>
        <v>3.5258732311866089E-2</v>
      </c>
      <c r="W32" s="293" t="s">
        <v>328</v>
      </c>
      <c r="X32" s="261" t="s">
        <v>1101</v>
      </c>
      <c r="Y32" s="261" t="s">
        <v>1101</v>
      </c>
      <c r="Z32" s="260">
        <v>0.4201388888888889</v>
      </c>
      <c r="AA32" s="39"/>
      <c r="AB32" s="40">
        <v>0.77222222222222225</v>
      </c>
      <c r="AC32" s="260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1102</v>
      </c>
      <c r="AI32" s="149" t="s">
        <v>358</v>
      </c>
      <c r="AJ32" s="37">
        <f>IFERROR(PA_8[[#This Row],[Breakdown Time]]*PA_8[[#This Row],[Plant Equivalent Weightage]],"")</f>
        <v>-0.35552555081131643</v>
      </c>
      <c r="AK32" s="262">
        <v>4.938241274999994</v>
      </c>
      <c r="AL32" s="151">
        <f>U32*PA_8[[#This Row],[Lost PoA(Wh/m2)]]*81.6%</f>
        <v>18434.43492660988</v>
      </c>
      <c r="AM32" s="151"/>
    </row>
    <row r="33" spans="1:39">
      <c r="A33" s="147">
        <v>32</v>
      </c>
      <c r="B33" s="148">
        <v>45799</v>
      </c>
      <c r="C33" s="180">
        <f>YEAR(PA_8[[#This Row],[Date]])+IF(MONTH(PA_8[[#This Row],[Date]])&gt;=4,1,0)</f>
        <v>2026</v>
      </c>
      <c r="D33" s="34">
        <f>YEAR(PA_8[[#This Row],[Date]])</f>
        <v>2025</v>
      </c>
      <c r="E33" s="149" t="s">
        <v>324</v>
      </c>
      <c r="F33" s="149" t="s">
        <v>324</v>
      </c>
      <c r="G33" s="169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49" t="s">
        <v>407</v>
      </c>
      <c r="M33" s="35" t="s">
        <v>368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4511.3849999999993</v>
      </c>
      <c r="V33" s="308">
        <f>IFERROR(_xlfn.XLOOKUP(PA_8[[#This Row],[Affected Equipment ]],'Basic Data'!$P:$P,'Basic Data'!$T:$T),"")</f>
        <v>3.4770362548941024E-2</v>
      </c>
      <c r="W33" s="293" t="s">
        <v>328</v>
      </c>
      <c r="X33" s="261" t="s">
        <v>1101</v>
      </c>
      <c r="Y33" s="261" t="s">
        <v>1101</v>
      </c>
      <c r="Z33" s="260">
        <v>0.2722222222222222</v>
      </c>
      <c r="AA33" s="39"/>
      <c r="AB33" s="40">
        <v>0.77222222222222225</v>
      </c>
      <c r="AC33" s="260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1102</v>
      </c>
      <c r="AI33" s="149" t="s">
        <v>358</v>
      </c>
      <c r="AJ33" s="37">
        <f>IFERROR(PA_8[[#This Row],[Breakdown Time]]*PA_8[[#This Row],[Plant Equivalent Weightage]],"")</f>
        <v>-0.22716636865308135</v>
      </c>
      <c r="AK33" s="262">
        <v>6.2420594250000008</v>
      </c>
      <c r="AL33" s="151">
        <f>U33*PA_8[[#This Row],[Lost PoA(Wh/m2)]]*81.6%</f>
        <v>22978.831939387754</v>
      </c>
      <c r="AM33" s="151"/>
    </row>
    <row r="34" spans="1:39">
      <c r="A34" s="147">
        <v>33</v>
      </c>
      <c r="B34" s="148">
        <v>45799</v>
      </c>
      <c r="C34" s="180">
        <f>YEAR(PA_8[[#This Row],[Date]])+IF(MONTH(PA_8[[#This Row],[Date]])&gt;=4,1,0)</f>
        <v>2026</v>
      </c>
      <c r="D34" s="34">
        <f>YEAR(PA_8[[#This Row],[Date]])</f>
        <v>2025</v>
      </c>
      <c r="E34" s="149" t="s">
        <v>324</v>
      </c>
      <c r="F34" s="149" t="s">
        <v>324</v>
      </c>
      <c r="G34" s="169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49" t="s">
        <v>407</v>
      </c>
      <c r="M34" s="35" t="s">
        <v>375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4574.7500000000009</v>
      </c>
      <c r="V34" s="311">
        <f>IFERROR(_xlfn.XLOOKUP(PA_8[[#This Row],[Affected Equipment ]],'Basic Data'!$P:$P,'Basic Data'!$T:$T),"")</f>
        <v>3.5258732311866089E-2</v>
      </c>
      <c r="W34" s="293" t="s">
        <v>328</v>
      </c>
      <c r="X34" s="261" t="s">
        <v>1101</v>
      </c>
      <c r="Y34" s="261" t="s">
        <v>1101</v>
      </c>
      <c r="Z34" s="260">
        <v>0.2722222222222222</v>
      </c>
      <c r="AA34" s="39"/>
      <c r="AB34" s="40">
        <v>0.77222222222222225</v>
      </c>
      <c r="AC34" s="260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1102</v>
      </c>
      <c r="AI34" s="149" t="s">
        <v>358</v>
      </c>
      <c r="AJ34" s="37">
        <f>IFERROR(PA_8[[#This Row],[Breakdown Time]]*PA_8[[#This Row],[Plant Equivalent Weightage]],"")</f>
        <v>-0.23035705110419177</v>
      </c>
      <c r="AK34" s="262">
        <v>6.2420594250000008</v>
      </c>
      <c r="AL34" s="151">
        <f>U34*PA_8[[#This Row],[Lost PoA(Wh/m2)]]*81.6%</f>
        <v>23301.582865287306</v>
      </c>
      <c r="AM34" s="151"/>
    </row>
    <row r="35" spans="1:39">
      <c r="A35" s="147">
        <v>34</v>
      </c>
      <c r="B35" s="148">
        <v>45800</v>
      </c>
      <c r="C35" s="180">
        <f>YEAR(PA_8[[#This Row],[Date]])+IF(MONTH(PA_8[[#This Row],[Date]])&gt;=4,1,0)</f>
        <v>2026</v>
      </c>
      <c r="D35" s="34">
        <f>YEAR(PA_8[[#This Row],[Date]])</f>
        <v>2025</v>
      </c>
      <c r="E35" s="149" t="s">
        <v>324</v>
      </c>
      <c r="F35" s="149" t="s">
        <v>324</v>
      </c>
      <c r="G35" s="169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49" t="s">
        <v>396</v>
      </c>
      <c r="M35" s="35" t="s">
        <v>348</v>
      </c>
      <c r="N35" s="35" t="s">
        <v>361</v>
      </c>
      <c r="O35" s="38" t="s">
        <v>382</v>
      </c>
      <c r="P35" s="38" t="s">
        <v>383</v>
      </c>
      <c r="Q35" s="35" t="s">
        <v>1092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08">
        <f>IFERROR(_xlfn.XLOOKUP(PA_8[[#This Row],[Affected Equipment ]],'Basic Data'!$P:$P,'Basic Data'!$T:$T),"")</f>
        <v>2.436261059900731E-4</v>
      </c>
      <c r="W35" s="293" t="s">
        <v>1103</v>
      </c>
      <c r="X35" s="261" t="s">
        <v>1104</v>
      </c>
      <c r="Y35" s="261" t="s">
        <v>1105</v>
      </c>
      <c r="Z35" s="260">
        <v>0.60416666666666663</v>
      </c>
      <c r="AA35" s="39"/>
      <c r="AB35" s="40">
        <v>0.72916666666666663</v>
      </c>
      <c r="AC35" s="260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1106</v>
      </c>
      <c r="AI35" s="149" t="s">
        <v>366</v>
      </c>
      <c r="AJ35" s="37">
        <f>IFERROR(PA_8[[#This Row],[Breakdown Time]]*PA_8[[#This Row],[Plant Equivalent Weightage]],"")</f>
        <v>9.7450442396029282E-4</v>
      </c>
      <c r="AK35" s="262">
        <v>2.54</v>
      </c>
      <c r="AL35" s="151">
        <f>U35*PA_8[[#This Row],[Lost PoA(Wh/m2)]]*81.6%</f>
        <v>65.516150400000001</v>
      </c>
      <c r="AM35" s="151"/>
    </row>
    <row r="36" spans="1:39">
      <c r="A36" s="147">
        <v>35</v>
      </c>
      <c r="B36" s="148">
        <v>45800</v>
      </c>
      <c r="C36" s="180">
        <f>YEAR(PA_8[[#This Row],[Date]])+IF(MONTH(PA_8[[#This Row],[Date]])&gt;=4,1,0)</f>
        <v>2026</v>
      </c>
      <c r="D36" s="34">
        <f>YEAR(PA_8[[#This Row],[Date]])</f>
        <v>2025</v>
      </c>
      <c r="E36" s="149" t="s">
        <v>324</v>
      </c>
      <c r="F36" s="149" t="s">
        <v>324</v>
      </c>
      <c r="G36" s="169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49" t="s">
        <v>407</v>
      </c>
      <c r="M36" s="35" t="s">
        <v>368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4511.3849999999993</v>
      </c>
      <c r="V36" s="308">
        <f>IFERROR(_xlfn.XLOOKUP(PA_8[[#This Row],[Affected Equipment ]],'Basic Data'!$P:$P,'Basic Data'!$T:$T),"")</f>
        <v>3.4770362548941024E-2</v>
      </c>
      <c r="W36" s="293" t="s">
        <v>328</v>
      </c>
      <c r="X36" s="261" t="s">
        <v>1101</v>
      </c>
      <c r="Y36" s="261" t="s">
        <v>1101</v>
      </c>
      <c r="Z36" s="260">
        <v>0.2722222222222222</v>
      </c>
      <c r="AA36" s="39"/>
      <c r="AB36" s="40">
        <v>0.77222222222222225</v>
      </c>
      <c r="AC36" s="260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1102</v>
      </c>
      <c r="AI36" s="149" t="s">
        <v>358</v>
      </c>
      <c r="AJ36" s="37">
        <f>IFERROR(PA_8[[#This Row],[Breakdown Time]]*PA_8[[#This Row],[Plant Equivalent Weightage]],"")</f>
        <v>-0.22716636865308135</v>
      </c>
      <c r="AK36" s="262">
        <v>2.6424233416666665</v>
      </c>
      <c r="AL36" s="151">
        <f>U36*PA_8[[#This Row],[Lost PoA(Wh/m2)]]*81.6%</f>
        <v>9727.5270462318149</v>
      </c>
      <c r="AM36" s="151"/>
    </row>
    <row r="37" spans="1:39">
      <c r="A37" s="147"/>
      <c r="B37" s="148">
        <v>45800</v>
      </c>
      <c r="C37" s="180">
        <f>YEAR(PA_8[[#This Row],[Date]])+IF(MONTH(PA_8[[#This Row],[Date]])&gt;=4,1,0)</f>
        <v>2026</v>
      </c>
      <c r="D37" s="34">
        <f>YEAR(PA_8[[#This Row],[Date]])</f>
        <v>2025</v>
      </c>
      <c r="E37" s="149" t="s">
        <v>324</v>
      </c>
      <c r="F37" s="149" t="s">
        <v>324</v>
      </c>
      <c r="G37" s="169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49" t="s">
        <v>407</v>
      </c>
      <c r="M37" s="35" t="s">
        <v>375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4574.7500000000009</v>
      </c>
      <c r="V37" s="311">
        <f>IFERROR(_xlfn.XLOOKUP(PA_8[[#This Row],[Affected Equipment ]],'Basic Data'!$P:$P,'Basic Data'!$T:$T),"")</f>
        <v>3.5258732311866089E-2</v>
      </c>
      <c r="W37" s="293" t="s">
        <v>328</v>
      </c>
      <c r="X37" s="261" t="s">
        <v>1101</v>
      </c>
      <c r="Y37" s="261" t="s">
        <v>1101</v>
      </c>
      <c r="Z37" s="260">
        <v>0.2722222222222222</v>
      </c>
      <c r="AA37" s="39"/>
      <c r="AB37" s="40">
        <v>0.77222222222222225</v>
      </c>
      <c r="AC37" s="260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1102</v>
      </c>
      <c r="AI37" s="149" t="s">
        <v>358</v>
      </c>
      <c r="AJ37" s="37">
        <f>IFERROR(PA_8[[#This Row],[Breakdown Time]]*PA_8[[#This Row],[Plant Equivalent Weightage]],"")</f>
        <v>-0.23035705110419177</v>
      </c>
      <c r="AK37" s="262">
        <v>2.6424233416666665</v>
      </c>
      <c r="AL37" s="151">
        <f>U37*PA_8[[#This Row],[Lost PoA(Wh/m2)]]*81.6%</f>
        <v>9864.1557647483005</v>
      </c>
      <c r="AM37" s="151"/>
    </row>
    <row r="38" spans="1:39">
      <c r="A38" s="147">
        <v>36</v>
      </c>
      <c r="B38" s="148">
        <v>45801</v>
      </c>
      <c r="C38" s="263">
        <f>YEAR(PA_8[[#This Row],[Date]])+IF(MONTH(PA_8[[#This Row],[Date]])&gt;=4,1,0)</f>
        <v>2026</v>
      </c>
      <c r="D38" s="264">
        <f>YEAR(PA_8[[#This Row],[Date]])</f>
        <v>2025</v>
      </c>
      <c r="E38" s="149" t="s">
        <v>324</v>
      </c>
      <c r="F38" s="149" t="s">
        <v>324</v>
      </c>
      <c r="G38" s="265">
        <f>PA_8[[#This Row],[Date]]-DAY(PA_8[[#This Row],[Date]])+1</f>
        <v>45778</v>
      </c>
      <c r="H38" s="264">
        <f>DAY(EOMONTH(PA_8[[#This Row],[Month Year]],0))</f>
        <v>31</v>
      </c>
      <c r="I38" s="266">
        <f>IFERROR(_xlfn.XLOOKUP(PA_8[[#This Row],[Date]],Input_Raw!$A:$A,Input_Raw!F:F),"")</f>
        <v>0.26250000000000001</v>
      </c>
      <c r="J38" s="266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49" t="s">
        <v>407</v>
      </c>
      <c r="M38" s="35" t="s">
        <v>368</v>
      </c>
      <c r="N38" s="267"/>
      <c r="O38" s="268"/>
      <c r="P38" s="268"/>
      <c r="Q38" s="35"/>
      <c r="R38" s="264">
        <f>IF((PA_8[[#This Row],[String Type(If String BD)]]&amp;PA_8[[#This Row],[Equipment (If any BD other than PV  array and inv)]])="",1,0)</f>
        <v>1</v>
      </c>
      <c r="S38" s="264">
        <f>IF(PA_8[[#This Row],[String Type(If String BD)]]="",1,0)</f>
        <v>1</v>
      </c>
      <c r="T38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4511.3849999999993</v>
      </c>
      <c r="V38" s="308">
        <f>IFERROR(_xlfn.XLOOKUP(PA_8[[#This Row],[Affected Equipment ]],'Basic Data'!$P:$P,'Basic Data'!$T:$T),"")</f>
        <v>3.4770362548941024E-2</v>
      </c>
      <c r="W38" s="293" t="s">
        <v>328</v>
      </c>
      <c r="X38" s="261" t="s">
        <v>1101</v>
      </c>
      <c r="Y38" s="261" t="s">
        <v>1101</v>
      </c>
      <c r="Z38" s="260">
        <v>0.2722222222222222</v>
      </c>
      <c r="AA38" s="39"/>
      <c r="AB38" s="40">
        <v>0.77222222222222225</v>
      </c>
      <c r="AC38" s="269"/>
      <c r="AD38" s="270">
        <f>IF(PA_8[[#This Row],[Acknowledgement Time ]]="NA","",(PA_8[[#This Row],[Acknowledgement Time ]]-PA_8[[#This Row],[Fault Time]])*24)</f>
        <v>-6.5333333333333332</v>
      </c>
      <c r="AE38" s="270">
        <f>IF(PA_8[[#This Row],[Work Start time on Fault]]="NA","",(PA_8[[#This Row],[Work Start time on Fault]]-PA_8[[#This Row],[Fault Time]])*24)</f>
        <v>12</v>
      </c>
      <c r="AF38" s="271" t="str">
        <f>IF(PA_8[[#This Row],[Status]]="Open","",(PA_8[[#This Row],[Work Completion time on fault]]-PA_8[[#This Row],[Fault Time]])*24)</f>
        <v/>
      </c>
      <c r="AG38" s="270">
        <f>IFERROR((PA_8[[#This Row],[Work Completion time on fault]]-PA_8[[#This Row],[Fault Time]])*24,"")</f>
        <v>-6.5333333333333332</v>
      </c>
      <c r="AH38" s="38" t="s">
        <v>1102</v>
      </c>
      <c r="AI38" s="149" t="s">
        <v>358</v>
      </c>
      <c r="AJ38" s="272">
        <f>IFERROR(PA_8[[#This Row],[Breakdown Time]]*PA_8[[#This Row],[Plant Equivalent Weightage]],"")</f>
        <v>-0.22716636865308135</v>
      </c>
      <c r="AK38" s="273">
        <v>3.5202772916666696</v>
      </c>
      <c r="AL38" s="151">
        <f>U38*PA_8[[#This Row],[Lost PoA(Wh/m2)]]*81.6%</f>
        <v>12959.162154283958</v>
      </c>
      <c r="AM38" s="274"/>
    </row>
    <row r="39" spans="1:39">
      <c r="A39" s="147"/>
      <c r="B39" s="148">
        <v>45801</v>
      </c>
      <c r="C39" s="180">
        <f>YEAR(PA_8[[#This Row],[Date]])+IF(MONTH(PA_8[[#This Row],[Date]])&gt;=4,1,0)</f>
        <v>2026</v>
      </c>
      <c r="D39" s="34">
        <f>YEAR(PA_8[[#This Row],[Date]])</f>
        <v>2025</v>
      </c>
      <c r="E39" s="149" t="s">
        <v>324</v>
      </c>
      <c r="F39" s="149" t="s">
        <v>324</v>
      </c>
      <c r="G39" s="169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49" t="s">
        <v>407</v>
      </c>
      <c r="M39" s="35" t="s">
        <v>375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4574.7500000000009</v>
      </c>
      <c r="V39" s="311">
        <f>IFERROR(_xlfn.XLOOKUP(PA_8[[#This Row],[Affected Equipment ]],'Basic Data'!$P:$P,'Basic Data'!$T:$T),"")</f>
        <v>3.5258732311866089E-2</v>
      </c>
      <c r="W39" s="293" t="s">
        <v>328</v>
      </c>
      <c r="X39" s="261" t="s">
        <v>1101</v>
      </c>
      <c r="Y39" s="261" t="s">
        <v>1101</v>
      </c>
      <c r="Z39" s="260">
        <v>0.2722222222222222</v>
      </c>
      <c r="AA39" s="39"/>
      <c r="AB39" s="40">
        <v>0.77222222222222225</v>
      </c>
      <c r="AC39" s="260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1102</v>
      </c>
      <c r="AI39" s="149" t="s">
        <v>358</v>
      </c>
      <c r="AJ39" s="37">
        <f>IFERROR(PA_8[[#This Row],[Breakdown Time]]*PA_8[[#This Row],[Plant Equivalent Weightage]],"")</f>
        <v>-0.23035705110419177</v>
      </c>
      <c r="AK39" s="273">
        <v>3.5202772916666696</v>
      </c>
      <c r="AL39" s="151">
        <f>U39*PA_8[[#This Row],[Lost PoA(Wh/m2)]]*81.6%</f>
        <v>13141.181048682512</v>
      </c>
      <c r="AM39" s="151"/>
    </row>
    <row r="40" spans="1:39">
      <c r="A40" s="147">
        <v>37</v>
      </c>
      <c r="B40" s="148">
        <v>45801</v>
      </c>
      <c r="C40" s="180">
        <f>YEAR(PA_8[[#This Row],[Date]])+IF(MONTH(PA_8[[#This Row],[Date]])&gt;=4,1,0)</f>
        <v>2026</v>
      </c>
      <c r="D40" s="34">
        <f>YEAR(PA_8[[#This Row],[Date]])</f>
        <v>2025</v>
      </c>
      <c r="E40" s="149" t="s">
        <v>324</v>
      </c>
      <c r="F40" s="149" t="s">
        <v>324</v>
      </c>
      <c r="G40" s="169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49" t="s">
        <v>407</v>
      </c>
      <c r="M40" s="35"/>
      <c r="N40" s="35"/>
      <c r="O40" s="38"/>
      <c r="P40" s="38"/>
      <c r="Q40" s="35" t="s">
        <v>352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08">
        <f>IFERROR(_xlfn.XLOOKUP(PA_8[[#This Row],[Affected Equipment ]],'Basic Data'!$P:$P,'Basic Data'!$T:$T),"")</f>
        <v>0.13284663347411907</v>
      </c>
      <c r="W40" s="293" t="s">
        <v>390</v>
      </c>
      <c r="X40" s="150" t="s">
        <v>1072</v>
      </c>
      <c r="Y40" s="150" t="s">
        <v>1073</v>
      </c>
      <c r="Z40" s="260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1074</v>
      </c>
      <c r="AI40" s="149" t="s">
        <v>366</v>
      </c>
      <c r="AJ40" s="37">
        <f>IFERROR(PA_8[[#This Row],[Breakdown Time]]*PA_8[[#This Row],[Plant Equivalent Weightage]],"")</f>
        <v>0.22362516634810034</v>
      </c>
      <c r="AK40" s="262">
        <v>0.2233</v>
      </c>
      <c r="AL40" s="151">
        <f>U40*PA_8[[#This Row],[Lost PoA(Wh/m2)]]*81.6%</f>
        <v>3140.7264152879998</v>
      </c>
      <c r="AM40" s="151"/>
    </row>
    <row r="41" spans="1:39">
      <c r="A41" s="147">
        <v>38</v>
      </c>
      <c r="B41" s="148">
        <v>45801</v>
      </c>
      <c r="C41" s="180">
        <f>YEAR(PA_8[[#This Row],[Date]])+IF(MONTH(PA_8[[#This Row],[Date]])&gt;=4,1,0)</f>
        <v>2026</v>
      </c>
      <c r="D41" s="34">
        <f>YEAR(PA_8[[#This Row],[Date]])</f>
        <v>2025</v>
      </c>
      <c r="E41" s="149" t="s">
        <v>324</v>
      </c>
      <c r="F41" s="149" t="s">
        <v>324</v>
      </c>
      <c r="G41" s="169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49" t="s">
        <v>412</v>
      </c>
      <c r="M41" s="35"/>
      <c r="N41" s="35"/>
      <c r="O41" s="38"/>
      <c r="P41" s="38"/>
      <c r="Q41" s="35" t="s">
        <v>352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08">
        <f>IFERROR(_xlfn.XLOOKUP(PA_8[[#This Row],[Affected Equipment ]],'Basic Data'!$P:$P,'Basic Data'!$T:$T),"")</f>
        <v>4.2269129389277682E-2</v>
      </c>
      <c r="W41" s="293" t="s">
        <v>390</v>
      </c>
      <c r="X41" s="150" t="s">
        <v>1072</v>
      </c>
      <c r="Y41" s="150" t="s">
        <v>1073</v>
      </c>
      <c r="Z41" s="260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1074</v>
      </c>
      <c r="AI41" s="149" t="s">
        <v>366</v>
      </c>
      <c r="AJ41" s="37">
        <f>IFERROR(PA_8[[#This Row],[Breakdown Time]]*PA_8[[#This Row],[Plant Equivalent Weightage]],"")</f>
        <v>7.1153034471950732E-2</v>
      </c>
      <c r="AK41" s="262">
        <v>0.2233</v>
      </c>
      <c r="AL41" s="151">
        <f>U41*PA_8[[#This Row],[Lost PoA(Wh/m2)]]*81.6%</f>
        <v>999.31603648800001</v>
      </c>
      <c r="AM41" s="151"/>
    </row>
    <row r="42" spans="1:39">
      <c r="A42" s="147">
        <v>39</v>
      </c>
      <c r="B42" s="148">
        <v>45801</v>
      </c>
      <c r="C42" s="180">
        <f>YEAR(PA_8[[#This Row],[Date]])+IF(MONTH(PA_8[[#This Row],[Date]])&gt;=4,1,0)</f>
        <v>2026</v>
      </c>
      <c r="D42" s="34">
        <f>YEAR(PA_8[[#This Row],[Date]])</f>
        <v>2025</v>
      </c>
      <c r="E42" s="149" t="s">
        <v>324</v>
      </c>
      <c r="F42" s="149" t="s">
        <v>324</v>
      </c>
      <c r="G42" s="169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49" t="s">
        <v>416</v>
      </c>
      <c r="M42" s="35"/>
      <c r="N42" s="35"/>
      <c r="O42" s="38"/>
      <c r="P42" s="38"/>
      <c r="Q42" s="35" t="s">
        <v>352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08">
        <f>IFERROR(_xlfn.XLOOKUP(PA_8[[#This Row],[Affected Equipment ]],'Basic Data'!$P:$P,'Basic Data'!$T:$T),"")</f>
        <v>4.7556802416992942E-2</v>
      </c>
      <c r="W42" s="293" t="s">
        <v>390</v>
      </c>
      <c r="X42" s="150" t="s">
        <v>1072</v>
      </c>
      <c r="Y42" s="150" t="s">
        <v>1073</v>
      </c>
      <c r="Z42" s="260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1074</v>
      </c>
      <c r="AI42" s="149" t="s">
        <v>366</v>
      </c>
      <c r="AJ42" s="37">
        <f>IFERROR(PA_8[[#This Row],[Breakdown Time]]*PA_8[[#This Row],[Plant Equivalent Weightage]],"")</f>
        <v>8.0053950735271426E-2</v>
      </c>
      <c r="AK42" s="262">
        <v>0.2233</v>
      </c>
      <c r="AL42" s="151">
        <f>U42*PA_8[[#This Row],[Lost PoA(Wh/m2)]]*81.6%</f>
        <v>1124.3258611199999</v>
      </c>
      <c r="AM42" s="151"/>
    </row>
    <row r="43" spans="1:39">
      <c r="A43" s="147">
        <v>40</v>
      </c>
      <c r="B43" s="148">
        <v>45801</v>
      </c>
      <c r="C43" s="180">
        <f>YEAR(PA_8[[#This Row],[Date]])+IF(MONTH(PA_8[[#This Row],[Date]])&gt;=4,1,0)</f>
        <v>2026</v>
      </c>
      <c r="D43" s="34">
        <f>YEAR(PA_8[[#This Row],[Date]])</f>
        <v>2025</v>
      </c>
      <c r="E43" s="149" t="s">
        <v>324</v>
      </c>
      <c r="F43" s="149" t="s">
        <v>324</v>
      </c>
      <c r="G43" s="169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49" t="s">
        <v>419</v>
      </c>
      <c r="M43" s="35"/>
      <c r="N43" s="35"/>
      <c r="O43" s="38"/>
      <c r="P43" s="38"/>
      <c r="Q43" s="35" t="s">
        <v>352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6922.5900000000011</v>
      </c>
      <c r="V43" s="308">
        <f>IFERROR(_xlfn.XLOOKUP(PA_8[[#This Row],[Affected Equipment ]],'Basic Data'!$P:$P,'Basic Data'!$T:$T),"")</f>
        <v>5.3354117211826015E-2</v>
      </c>
      <c r="W43" s="293" t="s">
        <v>390</v>
      </c>
      <c r="X43" s="150" t="s">
        <v>1072</v>
      </c>
      <c r="Y43" s="150" t="s">
        <v>1073</v>
      </c>
      <c r="Z43" s="260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1074</v>
      </c>
      <c r="AI43" s="149" t="s">
        <v>366</v>
      </c>
      <c r="AJ43" s="37">
        <f>IFERROR(PA_8[[#This Row],[Breakdown Time]]*PA_8[[#This Row],[Plant Equivalent Weightage]],"")</f>
        <v>8.9812763973240423E-2</v>
      </c>
      <c r="AK43" s="262">
        <v>0.2233</v>
      </c>
      <c r="AL43" s="151">
        <f>U43*PA_8[[#This Row],[Lost PoA(Wh/m2)]]*81.6%</f>
        <v>1261.3845071520002</v>
      </c>
      <c r="AM43" s="151"/>
    </row>
    <row r="44" spans="1:39">
      <c r="A44" s="147">
        <v>41</v>
      </c>
      <c r="B44" s="148">
        <v>45801</v>
      </c>
      <c r="C44" s="180">
        <f>YEAR(PA_8[[#This Row],[Date]])+IF(MONTH(PA_8[[#This Row],[Date]])&gt;=4,1,0)</f>
        <v>2026</v>
      </c>
      <c r="D44" s="34">
        <f>YEAR(PA_8[[#This Row],[Date]])</f>
        <v>2025</v>
      </c>
      <c r="E44" s="149" t="s">
        <v>324</v>
      </c>
      <c r="F44" s="149" t="s">
        <v>324</v>
      </c>
      <c r="G44" s="169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49" t="s">
        <v>422</v>
      </c>
      <c r="M44" s="35"/>
      <c r="N44" s="35"/>
      <c r="O44" s="38"/>
      <c r="P44" s="38"/>
      <c r="Q44" s="35" t="s">
        <v>352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10358.51</v>
      </c>
      <c r="V44" s="308">
        <f>IFERROR(_xlfn.XLOOKUP(PA_8[[#This Row],[Affected Equipment ]],'Basic Data'!$P:$P,'Basic Data'!$T:$T),"")</f>
        <v>7.9835604402380009E-2</v>
      </c>
      <c r="W44" s="293" t="s">
        <v>390</v>
      </c>
      <c r="X44" s="150" t="s">
        <v>1072</v>
      </c>
      <c r="Y44" s="150" t="s">
        <v>1073</v>
      </c>
      <c r="Z44" s="260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1074</v>
      </c>
      <c r="AI44" s="149" t="s">
        <v>366</v>
      </c>
      <c r="AJ44" s="37">
        <f>IFERROR(PA_8[[#This Row],[Breakdown Time]]*PA_8[[#This Row],[Plant Equivalent Weightage]],"")</f>
        <v>0.13438993407733962</v>
      </c>
      <c r="AK44" s="262">
        <v>0.2233</v>
      </c>
      <c r="AL44" s="151">
        <f>U44*PA_8[[#This Row],[Lost PoA(Wh/m2)]]*81.6%</f>
        <v>1887.4531109279999</v>
      </c>
      <c r="AM44" s="151"/>
    </row>
    <row r="45" spans="1:39">
      <c r="A45" s="147">
        <v>42</v>
      </c>
      <c r="B45" s="148">
        <v>45802</v>
      </c>
      <c r="C45" s="180">
        <f>YEAR(PA_8[[#This Row],[Date]])+IF(MONTH(PA_8[[#This Row],[Date]])&gt;=4,1,0)</f>
        <v>2026</v>
      </c>
      <c r="D45" s="34">
        <f>YEAR(PA_8[[#This Row],[Date]])</f>
        <v>2025</v>
      </c>
      <c r="E45" s="149" t="s">
        <v>324</v>
      </c>
      <c r="F45" s="149" t="s">
        <v>324</v>
      </c>
      <c r="G45" s="169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49" t="s">
        <v>407</v>
      </c>
      <c r="M45" s="35" t="s">
        <v>368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4511.3849999999993</v>
      </c>
      <c r="V45" s="308">
        <f>IFERROR(_xlfn.XLOOKUP(PA_8[[#This Row],[Affected Equipment ]],'Basic Data'!$P:$P,'Basic Data'!$T:$T),"")</f>
        <v>3.4770362548941024E-2</v>
      </c>
      <c r="W45" s="293" t="s">
        <v>328</v>
      </c>
      <c r="X45" s="261" t="s">
        <v>1101</v>
      </c>
      <c r="Y45" s="261" t="s">
        <v>1101</v>
      </c>
      <c r="Z45" s="260">
        <v>0.2722222222222222</v>
      </c>
      <c r="AA45" s="39"/>
      <c r="AB45" s="40">
        <v>0.77222222222222225</v>
      </c>
      <c r="AC45" s="260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1102</v>
      </c>
      <c r="AI45" s="149" t="s">
        <v>358</v>
      </c>
      <c r="AJ45" s="37">
        <f>IFERROR(PA_8[[#This Row],[Breakdown Time]]*PA_8[[#This Row],[Plant Equivalent Weightage]],"")</f>
        <v>-0.22716636865308135</v>
      </c>
      <c r="AK45" s="262">
        <v>1.9297837499999995</v>
      </c>
      <c r="AL45" s="151">
        <f>U45*PA_8[[#This Row],[Lost PoA(Wh/m2)]]*81.6%</f>
        <v>7104.0939298028961</v>
      </c>
      <c r="AM45" s="151"/>
    </row>
    <row r="46" spans="1:39">
      <c r="A46" s="147"/>
      <c r="B46" s="148">
        <v>45802</v>
      </c>
      <c r="C46" s="180">
        <f>YEAR(PA_8[[#This Row],[Date]])+IF(MONTH(PA_8[[#This Row],[Date]])&gt;=4,1,0)</f>
        <v>2026</v>
      </c>
      <c r="D46" s="34">
        <f>YEAR(PA_8[[#This Row],[Date]])</f>
        <v>2025</v>
      </c>
      <c r="E46" s="149" t="s">
        <v>324</v>
      </c>
      <c r="F46" s="149" t="s">
        <v>324</v>
      </c>
      <c r="G46" s="169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49" t="s">
        <v>407</v>
      </c>
      <c r="M46" s="35" t="s">
        <v>375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4574.7500000000009</v>
      </c>
      <c r="V46" s="311">
        <f>IFERROR(_xlfn.XLOOKUP(PA_8[[#This Row],[Affected Equipment ]],'Basic Data'!$P:$P,'Basic Data'!$T:$T),"")</f>
        <v>3.5258732311866089E-2</v>
      </c>
      <c r="W46" s="293" t="s">
        <v>328</v>
      </c>
      <c r="X46" s="261" t="s">
        <v>1101</v>
      </c>
      <c r="Y46" s="261" t="s">
        <v>1101</v>
      </c>
      <c r="Z46" s="260">
        <v>0.2722222222222222</v>
      </c>
      <c r="AA46" s="39"/>
      <c r="AB46" s="40">
        <v>0.77222222222222225</v>
      </c>
      <c r="AC46" s="260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1102</v>
      </c>
      <c r="AI46" s="149" t="s">
        <v>358</v>
      </c>
      <c r="AJ46" s="37">
        <f>IFERROR(PA_8[[#This Row],[Breakdown Time]]*PA_8[[#This Row],[Plant Equivalent Weightage]],"")</f>
        <v>-0.23035705110419177</v>
      </c>
      <c r="AK46" s="262">
        <v>1.9297837499999995</v>
      </c>
      <c r="AL46" s="151">
        <f>U46*PA_8[[#This Row],[Lost PoA(Wh/m2)]]*81.6%</f>
        <v>7203.8750196149986</v>
      </c>
      <c r="AM46" s="151"/>
    </row>
    <row r="47" spans="1:39">
      <c r="A47" s="147">
        <v>43</v>
      </c>
      <c r="B47" s="148">
        <v>45802</v>
      </c>
      <c r="C47" s="180">
        <f>YEAR(PA_8[[#This Row],[Date]])+IF(MONTH(PA_8[[#This Row],[Date]])&gt;=4,1,0)</f>
        <v>2026</v>
      </c>
      <c r="D47" s="34">
        <f>YEAR(PA_8[[#This Row],[Date]])</f>
        <v>2025</v>
      </c>
      <c r="E47" s="149" t="s">
        <v>324</v>
      </c>
      <c r="F47" s="149" t="s">
        <v>324</v>
      </c>
      <c r="G47" s="169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49" t="s">
        <v>412</v>
      </c>
      <c r="M47" s="35" t="s">
        <v>348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5484.3350000000019</v>
      </c>
      <c r="V47" s="308">
        <f>IFERROR(_xlfn.XLOOKUP(PA_8[[#This Row],[Affected Equipment ]],'Basic Data'!$P:$P,'Basic Data'!$T:$T),"")</f>
        <v>4.2269129389277696E-2</v>
      </c>
      <c r="W47" s="293" t="s">
        <v>328</v>
      </c>
      <c r="X47" s="261" t="s">
        <v>1086</v>
      </c>
      <c r="Y47" s="294" t="s">
        <v>1081</v>
      </c>
      <c r="Z47" s="260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294" t="s">
        <v>1087</v>
      </c>
      <c r="AI47" s="149" t="s">
        <v>366</v>
      </c>
      <c r="AJ47" s="37">
        <f>IFERROR(PA_8[[#This Row],[Breakdown Time]]*PA_8[[#This Row],[Plant Equivalent Weightage]],"")</f>
        <v>0.16907651755711076</v>
      </c>
      <c r="AK47" s="262">
        <v>0.74939999999999996</v>
      </c>
      <c r="AL47" s="151">
        <f>U47*PA_8[[#This Row],[Lost PoA(Wh/m2)]]*81.6%</f>
        <v>3353.7278895840009</v>
      </c>
      <c r="AM47" s="151"/>
    </row>
    <row r="48" spans="1:39">
      <c r="A48" s="147">
        <v>44</v>
      </c>
      <c r="B48" s="148">
        <v>45803</v>
      </c>
      <c r="C48" s="180">
        <f>YEAR(PA_8[[#This Row],[Date]])+IF(MONTH(PA_8[[#This Row],[Date]])&gt;=4,1,0)</f>
        <v>2026</v>
      </c>
      <c r="D48" s="34">
        <f>YEAR(PA_8[[#This Row],[Date]])</f>
        <v>2025</v>
      </c>
      <c r="E48" s="149" t="s">
        <v>324</v>
      </c>
      <c r="F48" s="149" t="s">
        <v>324</v>
      </c>
      <c r="G48" s="169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49" t="s">
        <v>407</v>
      </c>
      <c r="M48" s="35" t="s">
        <v>368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4511.3849999999993</v>
      </c>
      <c r="V48" s="308">
        <f>IFERROR(_xlfn.XLOOKUP(PA_8[[#This Row],[Affected Equipment ]],'Basic Data'!$P:$P,'Basic Data'!$T:$T),"")</f>
        <v>3.4770362548941024E-2</v>
      </c>
      <c r="W48" s="293" t="s">
        <v>328</v>
      </c>
      <c r="X48" s="261" t="s">
        <v>1101</v>
      </c>
      <c r="Y48" s="261" t="s">
        <v>1101</v>
      </c>
      <c r="Z48" s="260">
        <v>0.2722222222222222</v>
      </c>
      <c r="AA48" s="39"/>
      <c r="AB48" s="40">
        <v>0.77222222222222225</v>
      </c>
      <c r="AC48" s="260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1102</v>
      </c>
      <c r="AI48" s="149" t="s">
        <v>366</v>
      </c>
      <c r="AJ48" s="37">
        <f>IFERROR(PA_8[[#This Row],[Breakdown Time]]*PA_8[[#This Row],[Plant Equivalent Weightage]],"")</f>
        <v>-0.22716636865308135</v>
      </c>
      <c r="AK48" s="262">
        <v>6.7432472583333318</v>
      </c>
      <c r="AL48" s="151">
        <f>U48*PA_8[[#This Row],[Lost PoA(Wh/m2)]]*81.6%</f>
        <v>24823.849778549469</v>
      </c>
      <c r="AM48" s="151"/>
    </row>
    <row r="49" spans="1:39">
      <c r="A49" s="147"/>
      <c r="B49" s="148">
        <v>45803</v>
      </c>
      <c r="C49" s="180">
        <f>YEAR(PA_8[[#This Row],[Date]])+IF(MONTH(PA_8[[#This Row],[Date]])&gt;=4,1,0)</f>
        <v>2026</v>
      </c>
      <c r="D49" s="34">
        <f>YEAR(PA_8[[#This Row],[Date]])</f>
        <v>2025</v>
      </c>
      <c r="E49" s="149" t="s">
        <v>324</v>
      </c>
      <c r="F49" s="149" t="s">
        <v>324</v>
      </c>
      <c r="G49" s="169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49" t="s">
        <v>407</v>
      </c>
      <c r="M49" s="35" t="s">
        <v>375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4574.7500000000009</v>
      </c>
      <c r="V49" s="311">
        <f>IFERROR(_xlfn.XLOOKUP(PA_8[[#This Row],[Affected Equipment ]],'Basic Data'!$P:$P,'Basic Data'!$T:$T),"")</f>
        <v>3.5258732311866089E-2</v>
      </c>
      <c r="W49" s="293" t="s">
        <v>328</v>
      </c>
      <c r="X49" s="261" t="s">
        <v>1101</v>
      </c>
      <c r="Y49" s="261" t="s">
        <v>1101</v>
      </c>
      <c r="Z49" s="260">
        <v>0.2722222222222222</v>
      </c>
      <c r="AA49" s="39"/>
      <c r="AB49" s="40">
        <v>0.77222222222222225</v>
      </c>
      <c r="AC49" s="260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1102</v>
      </c>
      <c r="AI49" s="149" t="s">
        <v>358</v>
      </c>
      <c r="AJ49" s="37">
        <f>IFERROR(PA_8[[#This Row],[Breakdown Time]]*PA_8[[#This Row],[Plant Equivalent Weightage]],"")</f>
        <v>-0.23035705110419177</v>
      </c>
      <c r="AK49" s="262">
        <v>6.7432472583333318</v>
      </c>
      <c r="AL49" s="151">
        <f>U49*PA_8[[#This Row],[Lost PoA(Wh/m2)]]*81.6%</f>
        <v>25172.515042369298</v>
      </c>
      <c r="AM49" s="151"/>
    </row>
    <row r="50" spans="1:39">
      <c r="A50" s="147">
        <v>45</v>
      </c>
      <c r="B50" s="148">
        <v>45804</v>
      </c>
      <c r="C50" s="180">
        <f>YEAR(PA_8[[#This Row],[Date]])+IF(MONTH(PA_8[[#This Row],[Date]])&gt;=4,1,0)</f>
        <v>2026</v>
      </c>
      <c r="D50" s="34">
        <f>YEAR(PA_8[[#This Row],[Date]])</f>
        <v>2025</v>
      </c>
      <c r="E50" s="149" t="s">
        <v>324</v>
      </c>
      <c r="F50" s="149" t="s">
        <v>324</v>
      </c>
      <c r="G50" s="169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49" t="s">
        <v>396</v>
      </c>
      <c r="M50" s="35" t="s">
        <v>348</v>
      </c>
      <c r="N50" s="35" t="s">
        <v>376</v>
      </c>
      <c r="O50" s="38" t="s">
        <v>370</v>
      </c>
      <c r="P50" s="38" t="s">
        <v>378</v>
      </c>
      <c r="Q50" s="35" t="s">
        <v>389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08">
        <f>IFERROR(_xlfn.XLOOKUP(PA_8[[#This Row],[Affected Equipment ]],'Basic Data'!$P:$P,'Basic Data'!$T:$T),"")</f>
        <v>2.4139100410025592E-4</v>
      </c>
      <c r="W50" s="293" t="s">
        <v>1103</v>
      </c>
      <c r="X50" s="261" t="s">
        <v>1107</v>
      </c>
      <c r="Y50" s="261" t="s">
        <v>1108</v>
      </c>
      <c r="Z50" s="260">
        <v>0.31388888888888899</v>
      </c>
      <c r="AA50" s="39"/>
      <c r="AB50" s="40">
        <v>0.52083333333333337</v>
      </c>
      <c r="AC50" s="260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1109</v>
      </c>
      <c r="AI50" s="149" t="s">
        <v>366</v>
      </c>
      <c r="AJ50" s="37">
        <f>IFERROR(PA_8[[#This Row],[Breakdown Time]]*PA_8[[#This Row],[Plant Equivalent Weightage]],"")</f>
        <v>2.4058636741992167E-3</v>
      </c>
      <c r="AK50" s="262">
        <v>5.55</v>
      </c>
      <c r="AL50" s="151">
        <f>U50*PA_8[[#This Row],[Lost PoA(Wh/m2)]]*81.6%</f>
        <v>141.84201599999997</v>
      </c>
      <c r="AM50" s="151"/>
    </row>
    <row r="51" spans="1:39">
      <c r="A51" s="147">
        <v>46</v>
      </c>
      <c r="B51" s="148">
        <v>45804</v>
      </c>
      <c r="C51" s="180">
        <f>YEAR(PA_8[[#This Row],[Date]])+IF(MONTH(PA_8[[#This Row],[Date]])&gt;=4,1,0)</f>
        <v>2026</v>
      </c>
      <c r="D51" s="34">
        <f>YEAR(PA_8[[#This Row],[Date]])</f>
        <v>2025</v>
      </c>
      <c r="E51" s="149" t="s">
        <v>324</v>
      </c>
      <c r="F51" s="149" t="s">
        <v>324</v>
      </c>
      <c r="G51" s="169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49" t="s">
        <v>407</v>
      </c>
      <c r="M51" s="35" t="s">
        <v>368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4511.3849999999993</v>
      </c>
      <c r="V51" s="308">
        <f>IFERROR(_xlfn.XLOOKUP(PA_8[[#This Row],[Affected Equipment ]],'Basic Data'!$P:$P,'Basic Data'!$T:$T),"")</f>
        <v>3.4770362548941024E-2</v>
      </c>
      <c r="W51" s="293" t="s">
        <v>328</v>
      </c>
      <c r="X51" s="261" t="s">
        <v>1101</v>
      </c>
      <c r="Y51" s="261" t="s">
        <v>1101</v>
      </c>
      <c r="Z51" s="260">
        <v>0.2722222222222222</v>
      </c>
      <c r="AA51" s="39"/>
      <c r="AB51" s="40">
        <v>0.77222222222222225</v>
      </c>
      <c r="AC51" s="260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1102</v>
      </c>
      <c r="AI51" s="149" t="s">
        <v>358</v>
      </c>
      <c r="AJ51" s="37">
        <f>IFERROR(PA_8[[#This Row],[Breakdown Time]]*PA_8[[#This Row],[Plant Equivalent Weightage]],"")</f>
        <v>-0.22716636865308135</v>
      </c>
      <c r="AK51" s="262">
        <v>5.5893830666666684</v>
      </c>
      <c r="AL51" s="151">
        <f>U51*PA_8[[#This Row],[Lost PoA(Wh/m2)]]*81.6%</f>
        <v>20576.140883790627</v>
      </c>
      <c r="AM51" s="151"/>
    </row>
    <row r="52" spans="1:39">
      <c r="A52" s="147"/>
      <c r="B52" s="148"/>
      <c r="C52" s="180">
        <f>YEAR(PA_8[[#This Row],[Date]])+IF(MONTH(PA_8[[#This Row],[Date]])&gt;=4,1,0)</f>
        <v>1900</v>
      </c>
      <c r="D52" s="34">
        <f>YEAR(PA_8[[#This Row],[Date]])</f>
        <v>1900</v>
      </c>
      <c r="E52" s="149"/>
      <c r="F52" s="149"/>
      <c r="G52" s="169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49" t="s">
        <v>407</v>
      </c>
      <c r="M52" s="35" t="s">
        <v>375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4574.7500000000009</v>
      </c>
      <c r="V52" s="311">
        <f>IFERROR(_xlfn.XLOOKUP(PA_8[[#This Row],[Affected Equipment ]],'Basic Data'!$P:$P,'Basic Data'!$T:$T),"")</f>
        <v>3.5258732311866089E-2</v>
      </c>
      <c r="W52" s="293" t="s">
        <v>328</v>
      </c>
      <c r="X52" s="261" t="s">
        <v>1101</v>
      </c>
      <c r="Y52" s="261" t="s">
        <v>1101</v>
      </c>
      <c r="Z52" s="260">
        <v>0.2722222222222222</v>
      </c>
      <c r="AA52" s="39"/>
      <c r="AB52" s="40">
        <v>0.77222222222222225</v>
      </c>
      <c r="AC52" s="260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1102</v>
      </c>
      <c r="AI52" s="149" t="s">
        <v>358</v>
      </c>
      <c r="AJ52" s="37">
        <f>IFERROR(PA_8[[#This Row],[Breakdown Time]]*PA_8[[#This Row],[Plant Equivalent Weightage]],"")</f>
        <v>-0.23035705110419177</v>
      </c>
      <c r="AK52" s="262">
        <v>5.5893830666666684</v>
      </c>
      <c r="AL52" s="151">
        <f>U52*PA_8[[#This Row],[Lost PoA(Wh/m2)]]*81.6%</f>
        <v>20865.144630334409</v>
      </c>
      <c r="AM52" s="151"/>
    </row>
    <row r="53" spans="1:39">
      <c r="A53" s="147">
        <v>47</v>
      </c>
      <c r="B53" s="148">
        <v>45805</v>
      </c>
      <c r="C53" s="180">
        <f>YEAR(PA_8[[#This Row],[Date]])+IF(MONTH(PA_8[[#This Row],[Date]])&gt;=4,1,0)</f>
        <v>2026</v>
      </c>
      <c r="D53" s="34">
        <f>YEAR(PA_8[[#This Row],[Date]])</f>
        <v>2025</v>
      </c>
      <c r="E53" s="149" t="s">
        <v>324</v>
      </c>
      <c r="F53" s="149" t="s">
        <v>324</v>
      </c>
      <c r="G53" s="169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49" t="s">
        <v>407</v>
      </c>
      <c r="M53" s="35" t="s">
        <v>368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4511.3849999999993</v>
      </c>
      <c r="V53" s="308">
        <f>IFERROR(_xlfn.XLOOKUP(PA_8[[#This Row],[Affected Equipment ]],'Basic Data'!$P:$P,'Basic Data'!$T:$T),"")</f>
        <v>3.4770362548941024E-2</v>
      </c>
      <c r="W53" s="293" t="s">
        <v>328</v>
      </c>
      <c r="X53" s="261" t="s">
        <v>1101</v>
      </c>
      <c r="Y53" s="261" t="s">
        <v>1101</v>
      </c>
      <c r="Z53" s="260">
        <v>0.2722222222222222</v>
      </c>
      <c r="AA53" s="39"/>
      <c r="AB53" s="40">
        <v>0.77222222222222225</v>
      </c>
      <c r="AC53" s="260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1102</v>
      </c>
      <c r="AI53" s="149" t="s">
        <v>358</v>
      </c>
      <c r="AJ53" s="37">
        <f>IFERROR(PA_8[[#This Row],[Breakdown Time]]*PA_8[[#This Row],[Plant Equivalent Weightage]],"")</f>
        <v>-0.22716636865308135</v>
      </c>
      <c r="AK53" s="262">
        <v>2.6786335083333332</v>
      </c>
      <c r="AL53" s="151">
        <f>U53*PA_8[[#This Row],[Lost PoA(Wh/m2)]]*81.6%</f>
        <v>9860.8271764737747</v>
      </c>
      <c r="AM53" s="151"/>
    </row>
    <row r="54" spans="1:39">
      <c r="A54" s="147"/>
      <c r="B54" s="148"/>
      <c r="C54" s="180">
        <f>YEAR(PA_8[[#This Row],[Date]])+IF(MONTH(PA_8[[#This Row],[Date]])&gt;=4,1,0)</f>
        <v>1900</v>
      </c>
      <c r="D54" s="34">
        <f>YEAR(PA_8[[#This Row],[Date]])</f>
        <v>1900</v>
      </c>
      <c r="E54" s="149"/>
      <c r="F54" s="149"/>
      <c r="G54" s="169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49" t="s">
        <v>407</v>
      </c>
      <c r="M54" s="35" t="s">
        <v>375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4574.7500000000009</v>
      </c>
      <c r="V54" s="311">
        <f>IFERROR(_xlfn.XLOOKUP(PA_8[[#This Row],[Affected Equipment ]],'Basic Data'!$P:$P,'Basic Data'!$T:$T),"")</f>
        <v>3.5258732311866089E-2</v>
      </c>
      <c r="W54" s="293" t="s">
        <v>328</v>
      </c>
      <c r="X54" s="261" t="s">
        <v>1101</v>
      </c>
      <c r="Y54" s="261" t="s">
        <v>1101</v>
      </c>
      <c r="Z54" s="260">
        <v>0.2722222222222222</v>
      </c>
      <c r="AA54" s="39"/>
      <c r="AB54" s="40">
        <v>0.77222222222222225</v>
      </c>
      <c r="AC54" s="260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1102</v>
      </c>
      <c r="AI54" s="149" t="s">
        <v>358</v>
      </c>
      <c r="AJ54" s="37">
        <f>IFERROR(PA_8[[#This Row],[Breakdown Time]]*PA_8[[#This Row],[Plant Equivalent Weightage]],"")</f>
        <v>-0.23035705110419177</v>
      </c>
      <c r="AK54" s="262">
        <v>2.6786335083333332</v>
      </c>
      <c r="AL54" s="151">
        <f>U54*PA_8[[#This Row],[Lost PoA(Wh/m2)]]*81.6%</f>
        <v>9999.3281720743016</v>
      </c>
      <c r="AM54" s="151"/>
    </row>
    <row r="55" spans="1:39">
      <c r="A55" s="147">
        <v>48</v>
      </c>
      <c r="B55" s="148">
        <v>45806</v>
      </c>
      <c r="C55" s="180">
        <f>YEAR(PA_8[[#This Row],[Date]])+IF(MONTH(PA_8[[#This Row],[Date]])&gt;=4,1,0)</f>
        <v>2026</v>
      </c>
      <c r="D55" s="34">
        <f>YEAR(PA_8[[#This Row],[Date]])</f>
        <v>2025</v>
      </c>
      <c r="E55" s="149" t="s">
        <v>324</v>
      </c>
      <c r="F55" s="149" t="s">
        <v>324</v>
      </c>
      <c r="G55" s="169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49" t="s">
        <v>407</v>
      </c>
      <c r="M55" s="35" t="s">
        <v>368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4511.3849999999993</v>
      </c>
      <c r="V55" s="308">
        <f>IFERROR(_xlfn.XLOOKUP(PA_8[[#This Row],[Affected Equipment ]],'Basic Data'!$P:$P,'Basic Data'!$T:$T),"")</f>
        <v>3.4770362548941024E-2</v>
      </c>
      <c r="W55" s="293" t="s">
        <v>328</v>
      </c>
      <c r="X55" s="261" t="s">
        <v>1101</v>
      </c>
      <c r="Y55" s="261" t="s">
        <v>1101</v>
      </c>
      <c r="Z55" s="260">
        <v>0.2722222222222222</v>
      </c>
      <c r="AA55" s="39"/>
      <c r="AB55" s="40">
        <v>0.77222222222222225</v>
      </c>
      <c r="AC55" s="260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1102</v>
      </c>
      <c r="AI55" s="149" t="s">
        <v>358</v>
      </c>
      <c r="AJ55" s="37">
        <f>IFERROR(PA_8[[#This Row],[Breakdown Time]]*PA_8[[#This Row],[Plant Equivalent Weightage]],"")</f>
        <v>-0.22716636865308135</v>
      </c>
      <c r="AK55" s="262">
        <v>5.3923668666666593</v>
      </c>
      <c r="AL55" s="151">
        <f>U55*PA_8[[#This Row],[Lost PoA(Wh/m2)]]*81.6%</f>
        <v>19850.867085370002</v>
      </c>
      <c r="AM55" s="151"/>
    </row>
    <row r="56" spans="1:39">
      <c r="A56" s="147"/>
      <c r="B56" s="148"/>
      <c r="C56" s="180">
        <f>YEAR(PA_8[[#This Row],[Date]])+IF(MONTH(PA_8[[#This Row],[Date]])&gt;=4,1,0)</f>
        <v>1900</v>
      </c>
      <c r="D56" s="34">
        <f>YEAR(PA_8[[#This Row],[Date]])</f>
        <v>1900</v>
      </c>
      <c r="E56" s="149"/>
      <c r="F56" s="149"/>
      <c r="G56" s="169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49" t="s">
        <v>407</v>
      </c>
      <c r="M56" s="35" t="s">
        <v>375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4574.7500000000009</v>
      </c>
      <c r="V56" s="311">
        <f>IFERROR(_xlfn.XLOOKUP(PA_8[[#This Row],[Affected Equipment ]],'Basic Data'!$P:$P,'Basic Data'!$T:$T),"")</f>
        <v>3.5258732311866089E-2</v>
      </c>
      <c r="W56" s="293" t="s">
        <v>328</v>
      </c>
      <c r="X56" s="261" t="s">
        <v>1101</v>
      </c>
      <c r="Y56" s="261" t="s">
        <v>1101</v>
      </c>
      <c r="Z56" s="260">
        <v>0.2722222222222222</v>
      </c>
      <c r="AA56" s="39"/>
      <c r="AB56" s="40">
        <v>0.77222222222222225</v>
      </c>
      <c r="AC56" s="260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1102</v>
      </c>
      <c r="AI56" s="149" t="s">
        <v>358</v>
      </c>
      <c r="AJ56" s="37">
        <f>IFERROR(PA_8[[#This Row],[Breakdown Time]]*PA_8[[#This Row],[Plant Equivalent Weightage]],"")</f>
        <v>-0.23035705110419177</v>
      </c>
      <c r="AK56" s="262">
        <v>5.3923668666666593</v>
      </c>
      <c r="AL56" s="151">
        <f>U56*PA_8[[#This Row],[Lost PoA(Wh/m2)]]*81.6%</f>
        <v>20129.683943799173</v>
      </c>
      <c r="AM56" s="151"/>
    </row>
    <row r="57" spans="1:39">
      <c r="A57" s="147">
        <v>49</v>
      </c>
      <c r="B57" s="148">
        <v>45807</v>
      </c>
      <c r="C57" s="180">
        <f>YEAR(PA_8[[#This Row],[Date]])+IF(MONTH(PA_8[[#This Row],[Date]])&gt;=4,1,0)</f>
        <v>2026</v>
      </c>
      <c r="D57" s="34">
        <f>YEAR(PA_8[[#This Row],[Date]])</f>
        <v>2025</v>
      </c>
      <c r="E57" s="149" t="s">
        <v>324</v>
      </c>
      <c r="F57" s="149" t="s">
        <v>324</v>
      </c>
      <c r="G57" s="169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49" t="s">
        <v>407</v>
      </c>
      <c r="M57" s="35" t="s">
        <v>368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4511.3849999999993</v>
      </c>
      <c r="V57" s="308">
        <f>IFERROR(_xlfn.XLOOKUP(PA_8[[#This Row],[Affected Equipment ]],'Basic Data'!$P:$P,'Basic Data'!$T:$T),"")</f>
        <v>3.4770362548941024E-2</v>
      </c>
      <c r="W57" s="293" t="s">
        <v>328</v>
      </c>
      <c r="X57" s="261" t="s">
        <v>1101</v>
      </c>
      <c r="Y57" s="261" t="s">
        <v>1101</v>
      </c>
      <c r="Z57" s="260">
        <v>0.2722222222222222</v>
      </c>
      <c r="AA57" s="39"/>
      <c r="AB57" s="40">
        <v>0.77222222222222225</v>
      </c>
      <c r="AC57" s="260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1102</v>
      </c>
      <c r="AI57" s="149" t="s">
        <v>358</v>
      </c>
      <c r="AJ57" s="37">
        <f>IFERROR(PA_8[[#This Row],[Breakdown Time]]*PA_8[[#This Row],[Plant Equivalent Weightage]],"")</f>
        <v>-0.22716636865308135</v>
      </c>
      <c r="AK57" s="262">
        <v>5.3922111416666638</v>
      </c>
      <c r="AL57" s="151">
        <f>U57*PA_8[[#This Row],[Lost PoA(Wh/m2)]]*81.6%</f>
        <v>19850.293816459853</v>
      </c>
      <c r="AM57" s="151"/>
    </row>
    <row r="58" spans="1:39">
      <c r="A58" s="147"/>
      <c r="B58" s="148"/>
      <c r="C58" s="180">
        <f>YEAR(PA_8[[#This Row],[Date]])+IF(MONTH(PA_8[[#This Row],[Date]])&gt;=4,1,0)</f>
        <v>1900</v>
      </c>
      <c r="D58" s="34">
        <f>YEAR(PA_8[[#This Row],[Date]])</f>
        <v>1900</v>
      </c>
      <c r="E58" s="149"/>
      <c r="F58" s="149"/>
      <c r="G58" s="169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49" t="s">
        <v>407</v>
      </c>
      <c r="M58" s="35" t="s">
        <v>375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4574.7500000000009</v>
      </c>
      <c r="V58" s="311">
        <f>IFERROR(_xlfn.XLOOKUP(PA_8[[#This Row],[Affected Equipment ]],'Basic Data'!$P:$P,'Basic Data'!$T:$T),"")</f>
        <v>3.5258732311866089E-2</v>
      </c>
      <c r="W58" s="293" t="s">
        <v>328</v>
      </c>
      <c r="X58" s="261" t="s">
        <v>1101</v>
      </c>
      <c r="Y58" s="261" t="s">
        <v>1101</v>
      </c>
      <c r="Z58" s="260">
        <v>0.2722222222222222</v>
      </c>
      <c r="AA58" s="39"/>
      <c r="AB58" s="40">
        <v>0.77222222222222225</v>
      </c>
      <c r="AC58" s="260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1102</v>
      </c>
      <c r="AI58" s="149" t="s">
        <v>358</v>
      </c>
      <c r="AJ58" s="37">
        <f>IFERROR(PA_8[[#This Row],[Breakdown Time]]*PA_8[[#This Row],[Plant Equivalent Weightage]],"")</f>
        <v>-0.23035705110419177</v>
      </c>
      <c r="AK58" s="262">
        <v>5.3923668666666593</v>
      </c>
      <c r="AL58" s="151">
        <f>U58*PA_8[[#This Row],[Lost PoA(Wh/m2)]]*81.6%</f>
        <v>20129.683943799173</v>
      </c>
      <c r="AM58" s="151"/>
    </row>
    <row r="59" spans="1:39">
      <c r="A59" s="147">
        <v>50</v>
      </c>
      <c r="B59" s="148">
        <v>45808</v>
      </c>
      <c r="C59" s="263">
        <f>YEAR(PA_8[[#This Row],[Date]])+IF(MONTH(PA_8[[#This Row],[Date]])&gt;=4,1,0)</f>
        <v>2026</v>
      </c>
      <c r="D59" s="264">
        <f>YEAR(PA_8[[#This Row],[Date]])</f>
        <v>2025</v>
      </c>
      <c r="E59" s="149" t="s">
        <v>324</v>
      </c>
      <c r="F59" s="149" t="s">
        <v>324</v>
      </c>
      <c r="G59" s="265">
        <f>PA_8[[#This Row],[Date]]-DAY(PA_8[[#This Row],[Date]])+1</f>
        <v>45778</v>
      </c>
      <c r="H59" s="264">
        <f>DAY(EOMONTH(PA_8[[#This Row],[Month Year]],0))</f>
        <v>31</v>
      </c>
      <c r="I59" s="266">
        <f>IFERROR(_xlfn.XLOOKUP(PA_8[[#This Row],[Date]],Input_Raw!$A:$A,Input_Raw!F:F),"")</f>
        <v>0.24930555555555556</v>
      </c>
      <c r="J59" s="266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49" t="s">
        <v>407</v>
      </c>
      <c r="M59" s="35" t="s">
        <v>368</v>
      </c>
      <c r="N59" s="267"/>
      <c r="O59" s="268"/>
      <c r="P59" s="268"/>
      <c r="Q59" s="35"/>
      <c r="R59" s="264">
        <f>IF((PA_8[[#This Row],[String Type(If String BD)]]&amp;PA_8[[#This Row],[Equipment (If any BD other than PV  array and inv)]])="",1,0)</f>
        <v>1</v>
      </c>
      <c r="S59" s="264">
        <f>IF(PA_8[[#This Row],[String Type(If String BD)]]="",1,0)</f>
        <v>1</v>
      </c>
      <c r="T59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4511.3849999999993</v>
      </c>
      <c r="V59" s="308">
        <f>IFERROR(_xlfn.XLOOKUP(PA_8[[#This Row],[Affected Equipment ]],'Basic Data'!$P:$P,'Basic Data'!$T:$T),"")</f>
        <v>3.4770362548941024E-2</v>
      </c>
      <c r="W59" s="293" t="s">
        <v>328</v>
      </c>
      <c r="X59" s="261" t="s">
        <v>1101</v>
      </c>
      <c r="Y59" s="261" t="s">
        <v>1101</v>
      </c>
      <c r="Z59" s="260">
        <v>0.2722222222222222</v>
      </c>
      <c r="AA59" s="39"/>
      <c r="AB59" s="40">
        <v>0.77222222222222225</v>
      </c>
      <c r="AC59" s="269"/>
      <c r="AD59" s="270">
        <f>IF(PA_8[[#This Row],[Acknowledgement Time ]]="NA","",(PA_8[[#This Row],[Acknowledgement Time ]]-PA_8[[#This Row],[Fault Time]])*24)</f>
        <v>-6.5333333333333332</v>
      </c>
      <c r="AE59" s="270">
        <f>IF(PA_8[[#This Row],[Work Start time on Fault]]="NA","",(PA_8[[#This Row],[Work Start time on Fault]]-PA_8[[#This Row],[Fault Time]])*24)</f>
        <v>12</v>
      </c>
      <c r="AF59" s="271" t="str">
        <f>IF(PA_8[[#This Row],[Status]]="Open","",(PA_8[[#This Row],[Work Completion time on fault]]-PA_8[[#This Row],[Fault Time]])*24)</f>
        <v/>
      </c>
      <c r="AG59" s="270">
        <f>IFERROR((PA_8[[#This Row],[Work Completion time on fault]]-PA_8[[#This Row],[Fault Time]])*24,"")</f>
        <v>-6.5333333333333332</v>
      </c>
      <c r="AH59" s="38" t="s">
        <v>1102</v>
      </c>
      <c r="AI59" s="149" t="s">
        <v>358</v>
      </c>
      <c r="AJ59" s="272">
        <f>IFERROR(PA_8[[#This Row],[Breakdown Time]]*PA_8[[#This Row],[Plant Equivalent Weightage]],"")</f>
        <v>-0.22716636865308135</v>
      </c>
      <c r="AK59" s="273">
        <v>7.0123685166666618</v>
      </c>
      <c r="AL59" s="151">
        <f>U59*PA_8[[#This Row],[Lost PoA(Wh/m2)]]*81.6%</f>
        <v>25814.563218698771</v>
      </c>
      <c r="AM59" s="274"/>
    </row>
    <row r="60" spans="1:39">
      <c r="A60" s="147">
        <v>51</v>
      </c>
      <c r="B60" s="148">
        <v>45809</v>
      </c>
      <c r="C60" s="180">
        <f>YEAR(PA_8[[#This Row],[Date]])+IF(MONTH(PA_8[[#This Row],[Date]])&gt;=4,1,0)</f>
        <v>2026</v>
      </c>
      <c r="D60" s="34">
        <f>YEAR(PA_8[[#This Row],[Date]])</f>
        <v>2025</v>
      </c>
      <c r="E60" s="149" t="s">
        <v>324</v>
      </c>
      <c r="F60" s="149" t="s">
        <v>324</v>
      </c>
      <c r="G60" s="169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49"/>
      <c r="M60" s="35"/>
      <c r="N60" s="35"/>
      <c r="O60" s="38"/>
      <c r="P60" s="38"/>
      <c r="Q60" s="35" t="s">
        <v>399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08">
        <f>IFERROR(_xlfn.XLOOKUP(PA_8[[#This Row],[Affected Equipment ]],'Basic Data'!$P:$P,'Basic Data'!$T:$T),"")</f>
        <v>0.94110121157936932</v>
      </c>
      <c r="W60" s="293" t="s">
        <v>395</v>
      </c>
      <c r="X60" s="261" t="s">
        <v>1110</v>
      </c>
      <c r="Y60" s="261" t="s">
        <v>1111</v>
      </c>
      <c r="Z60" s="260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1112</v>
      </c>
      <c r="AI60" s="149" t="s">
        <v>366</v>
      </c>
      <c r="AJ60" s="37">
        <f>IFERROR(PA_8[[#This Row],[Breakdown Time]]*PA_8[[#This Row],[Plant Equivalent Weightage]],"")</f>
        <v>4.125160310756236</v>
      </c>
      <c r="AK60" s="262">
        <v>3.5169000000000001</v>
      </c>
      <c r="AL60" s="151">
        <f>U60*PA_8[[#This Row],[Lost PoA(Wh/m2)]]*84.2%</f>
        <v>361583.92595880007</v>
      </c>
      <c r="AM60" s="151"/>
    </row>
    <row r="61" spans="1:39" ht="18.95" customHeight="1">
      <c r="A61" s="147">
        <v>52</v>
      </c>
      <c r="B61" s="148">
        <v>45811</v>
      </c>
      <c r="C61" s="180">
        <f>YEAR(PA_8[[#This Row],[Date]])+IF(MONTH(PA_8[[#This Row],[Date]])&gt;=4,1,0)</f>
        <v>2026</v>
      </c>
      <c r="D61" s="34">
        <f>YEAR(PA_8[[#This Row],[Date]])</f>
        <v>2025</v>
      </c>
      <c r="E61" s="149" t="s">
        <v>324</v>
      </c>
      <c r="F61" s="149" t="s">
        <v>324</v>
      </c>
      <c r="G61" s="169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49" t="s">
        <v>407</v>
      </c>
      <c r="M61" s="35" t="s">
        <v>368</v>
      </c>
      <c r="N61" s="35" t="s">
        <v>361</v>
      </c>
      <c r="O61" s="38" t="s">
        <v>377</v>
      </c>
      <c r="P61" s="35" t="s">
        <v>363</v>
      </c>
      <c r="Q61" s="35" t="s">
        <v>1113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08">
        <f>IFERROR(_xlfn.XLOOKUP(PA_8[[#This Row],[Affected Equipment ]],'Basic Data'!$P:$P,'Basic Data'!$T:$T),"")</f>
        <v>1.2181305299503655E-4</v>
      </c>
      <c r="W61" s="293" t="s">
        <v>1103</v>
      </c>
      <c r="X61" s="261" t="s">
        <v>1094</v>
      </c>
      <c r="Y61" s="261" t="s">
        <v>1114</v>
      </c>
      <c r="Z61" s="260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1115</v>
      </c>
      <c r="AI61" s="149" t="s">
        <v>366</v>
      </c>
      <c r="AJ61" s="37">
        <f>IFERROR(PA_8[[#This Row],[Breakdown Time]]*PA_8[[#This Row],[Plant Equivalent Weightage]],"")</f>
        <v>1.258734880948711E-3</v>
      </c>
      <c r="AK61" s="262">
        <v>2.1</v>
      </c>
      <c r="AL61" s="151">
        <f>U61*PA_8[[#This Row],[Lost PoA(Wh/m2)]]*84.2%</f>
        <v>27.946401000000002</v>
      </c>
      <c r="AM61" s="151"/>
    </row>
    <row r="62" spans="1:39">
      <c r="A62" s="147">
        <v>53</v>
      </c>
      <c r="B62" s="148">
        <v>45812</v>
      </c>
      <c r="C62" s="180">
        <f>YEAR(PA_8[[#This Row],[Date]])+IF(MONTH(PA_8[[#This Row],[Date]])&gt;=4,1,0)</f>
        <v>2026</v>
      </c>
      <c r="D62" s="34">
        <f>YEAR(PA_8[[#This Row],[Date]])</f>
        <v>2025</v>
      </c>
      <c r="E62" s="149" t="s">
        <v>324</v>
      </c>
      <c r="F62" s="149" t="s">
        <v>324</v>
      </c>
      <c r="G62" s="169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49" t="s">
        <v>422</v>
      </c>
      <c r="M62" s="35" t="s">
        <v>360</v>
      </c>
      <c r="N62" s="35" t="s">
        <v>376</v>
      </c>
      <c r="O62" s="38" t="s">
        <v>370</v>
      </c>
      <c r="P62" s="35" t="s">
        <v>363</v>
      </c>
      <c r="Q62" s="35" t="s">
        <v>1113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08">
        <f>IFERROR(_xlfn.XLOOKUP(PA_8[[#This Row],[Affected Equipment ]],'Basic Data'!$P:$P,'Basic Data'!$T:$T),"")</f>
        <v>1.2181305299503655E-4</v>
      </c>
      <c r="W62" s="293" t="s">
        <v>1103</v>
      </c>
      <c r="X62" s="261" t="s">
        <v>1116</v>
      </c>
      <c r="Y62" s="261" t="s">
        <v>1116</v>
      </c>
      <c r="Z62" s="260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1117</v>
      </c>
      <c r="AI62" s="149" t="s">
        <v>366</v>
      </c>
      <c r="AJ62" s="37">
        <f>IFERROR(PA_8[[#This Row],[Breakdown Time]]*PA_8[[#This Row],[Plant Equivalent Weightage]],"")</f>
        <v>1.096317476955329E-3</v>
      </c>
      <c r="AK62" s="262">
        <v>0.92</v>
      </c>
      <c r="AL62" s="151">
        <f>U62*PA_8[[#This Row],[Lost PoA(Wh/m2)]]*84.2%</f>
        <v>12.243185200000001</v>
      </c>
      <c r="AM62" s="151"/>
    </row>
    <row r="63" spans="1:39">
      <c r="A63" s="147">
        <v>54</v>
      </c>
      <c r="B63" s="148">
        <v>45812</v>
      </c>
      <c r="C63" s="180">
        <f>YEAR(PA_8[[#This Row],[Date]])+IF(MONTH(PA_8[[#This Row],[Date]])&gt;=4,1,0)</f>
        <v>2026</v>
      </c>
      <c r="D63" s="34">
        <f>YEAR(PA_8[[#This Row],[Date]])</f>
        <v>2025</v>
      </c>
      <c r="E63" s="149" t="s">
        <v>324</v>
      </c>
      <c r="F63" s="149" t="s">
        <v>324</v>
      </c>
      <c r="G63" s="169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49" t="s">
        <v>416</v>
      </c>
      <c r="M63" s="35" t="s">
        <v>348</v>
      </c>
      <c r="N63" s="35" t="s">
        <v>361</v>
      </c>
      <c r="O63" s="38" t="s">
        <v>377</v>
      </c>
      <c r="P63" s="35" t="s">
        <v>371</v>
      </c>
      <c r="Q63" s="35" t="s">
        <v>1113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08">
        <f>IFERROR(_xlfn.XLOOKUP(PA_8[[#This Row],[Affected Equipment ]],'Basic Data'!$P:$P,'Basic Data'!$T:$T),"")</f>
        <v>1.2293060393994514E-4</v>
      </c>
      <c r="W63" s="293" t="s">
        <v>1103</v>
      </c>
      <c r="X63" s="261"/>
      <c r="Y63" s="261" t="s">
        <v>1118</v>
      </c>
      <c r="Z63" s="260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1119</v>
      </c>
      <c r="AI63" s="149" t="s">
        <v>366</v>
      </c>
      <c r="AJ63" s="37">
        <f>IFERROR(PA_8[[#This Row],[Breakdown Time]]*PA_8[[#This Row],[Plant Equivalent Weightage]],"")</f>
        <v>5.3269928373976235E-4</v>
      </c>
      <c r="AK63" s="262">
        <v>0.85</v>
      </c>
      <c r="AL63" s="151">
        <f>U63*PA_8[[#This Row],[Lost PoA(Wh/m2)]]*84.2%</f>
        <v>11.415415000000001</v>
      </c>
      <c r="AM63" s="151"/>
    </row>
    <row r="64" spans="1:39">
      <c r="A64" s="147">
        <v>55</v>
      </c>
      <c r="B64" s="148">
        <v>45818</v>
      </c>
      <c r="C64" s="180">
        <f>YEAR(PA_8[[#This Row],[Date]])+IF(MONTH(PA_8[[#This Row],[Date]])&gt;=4,1,0)</f>
        <v>2026</v>
      </c>
      <c r="D64" s="34">
        <f>YEAR(PA_8[[#This Row],[Date]])</f>
        <v>2025</v>
      </c>
      <c r="E64" s="149" t="s">
        <v>324</v>
      </c>
      <c r="F64" s="149" t="s">
        <v>324</v>
      </c>
      <c r="G64" s="169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49" t="s">
        <v>419</v>
      </c>
      <c r="M64" s="35"/>
      <c r="N64" s="35"/>
      <c r="O64" s="38"/>
      <c r="P64" s="38"/>
      <c r="Q64" s="35" t="s">
        <v>352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6922.5900000000011</v>
      </c>
      <c r="V64" s="308">
        <f>IFERROR(_xlfn.XLOOKUP(PA_8[[#This Row],[Affected Equipment ]],'Basic Data'!$P:$P,'Basic Data'!$T:$T),"")</f>
        <v>5.3354117211826015E-2</v>
      </c>
      <c r="W64" s="293" t="s">
        <v>390</v>
      </c>
      <c r="X64" s="150" t="s">
        <v>1120</v>
      </c>
      <c r="Y64" s="150" t="s">
        <v>1121</v>
      </c>
      <c r="Z64" s="260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1122</v>
      </c>
      <c r="AI64" s="149" t="s">
        <v>366</v>
      </c>
      <c r="AJ64" s="37">
        <f>IFERROR(PA_8[[#This Row],[Breakdown Time]]*PA_8[[#This Row],[Plant Equivalent Weightage]],"")</f>
        <v>0.12627141073465495</v>
      </c>
      <c r="AK64" s="262">
        <v>0.21099999999999999</v>
      </c>
      <c r="AL64" s="151">
        <f>U64*PA_8[[#This Row],[Lost PoA(Wh/m2)]]*84.2%</f>
        <v>1229.8811845800001</v>
      </c>
      <c r="AM64" s="151"/>
    </row>
    <row r="65" spans="1:39">
      <c r="A65" s="147">
        <v>56</v>
      </c>
      <c r="B65" s="148">
        <v>45820</v>
      </c>
      <c r="C65" s="180">
        <f>YEAR(PA_8[[#This Row],[Date]])+IF(MONTH(PA_8[[#This Row],[Date]])&gt;=4,1,0)</f>
        <v>2026</v>
      </c>
      <c r="D65" s="34">
        <f>YEAR(PA_8[[#This Row],[Date]])</f>
        <v>2025</v>
      </c>
      <c r="E65" s="149" t="s">
        <v>324</v>
      </c>
      <c r="F65" s="149" t="s">
        <v>324</v>
      </c>
      <c r="G65" s="169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49"/>
      <c r="M65" s="35"/>
      <c r="N65" s="35"/>
      <c r="O65" s="38"/>
      <c r="P65" s="38"/>
      <c r="Q65" s="35" t="s">
        <v>399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08">
        <f>IFERROR(_xlfn.XLOOKUP(PA_8[[#This Row],[Affected Equipment ]],'Basic Data'!$P:$P,'Basic Data'!$T:$T),"")</f>
        <v>0.94110121157936932</v>
      </c>
      <c r="W65" s="293" t="s">
        <v>395</v>
      </c>
      <c r="X65" s="150" t="s">
        <v>1123</v>
      </c>
      <c r="Y65" s="150" t="s">
        <v>1124</v>
      </c>
      <c r="Z65" s="260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1125</v>
      </c>
      <c r="AI65" s="149" t="s">
        <v>366</v>
      </c>
      <c r="AJ65" s="37">
        <f>IFERROR(PA_8[[#This Row],[Breakdown Time]]*PA_8[[#This Row],[Plant Equivalent Weightage]],"")</f>
        <v>0.48623562598267495</v>
      </c>
      <c r="AK65" s="262">
        <v>6.4000000000000001E-2</v>
      </c>
      <c r="AL65" s="151">
        <f>U65*PA_8[[#This Row],[Lost PoA(Wh/m2)]]*84.2%</f>
        <v>6580.0481280000013</v>
      </c>
      <c r="AM65" s="151"/>
    </row>
    <row r="66" spans="1:39">
      <c r="A66" s="147">
        <v>57</v>
      </c>
      <c r="B66" s="148">
        <v>45821</v>
      </c>
      <c r="C66" s="180">
        <f>YEAR(PA_8[[#This Row],[Date]])+IF(MONTH(PA_8[[#This Row],[Date]])&gt;=4,1,0)</f>
        <v>2026</v>
      </c>
      <c r="D66" s="34">
        <f>YEAR(PA_8[[#This Row],[Date]])</f>
        <v>2025</v>
      </c>
      <c r="E66" s="149" t="s">
        <v>324</v>
      </c>
      <c r="F66" s="149" t="s">
        <v>324</v>
      </c>
      <c r="G66" s="169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49" t="s">
        <v>416</v>
      </c>
      <c r="M66" s="35"/>
      <c r="N66" s="35"/>
      <c r="O66" s="38"/>
      <c r="P66" s="38"/>
      <c r="Q66" s="35" t="s">
        <v>352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08">
        <f>IFERROR(_xlfn.XLOOKUP(PA_8[[#This Row],[Affected Equipment ]],'Basic Data'!$P:$P,'Basic Data'!$T:$T),"")</f>
        <v>4.7556802416992942E-2</v>
      </c>
      <c r="W66" s="293" t="s">
        <v>390</v>
      </c>
      <c r="X66" s="150" t="s">
        <v>1120</v>
      </c>
      <c r="Y66" s="150" t="s">
        <v>1121</v>
      </c>
      <c r="Z66" s="260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1122</v>
      </c>
      <c r="AI66" s="149" t="s">
        <v>366</v>
      </c>
      <c r="AJ66" s="37">
        <f>IFERROR(PA_8[[#This Row],[Breakdown Time]]*PA_8[[#This Row],[Plant Equivalent Weightage]],"")</f>
        <v>6.499429663655705E-2</v>
      </c>
      <c r="AK66" s="262">
        <v>1.268</v>
      </c>
      <c r="AL66" s="151">
        <f>U66*PA_8[[#This Row],[Lost PoA(Wh/m2)]]*84.2%</f>
        <v>6587.8645824000005</v>
      </c>
      <c r="AM66" s="151"/>
    </row>
    <row r="67" spans="1:39">
      <c r="A67" s="147">
        <v>58</v>
      </c>
      <c r="B67" s="148">
        <v>45821</v>
      </c>
      <c r="C67" s="180">
        <f>YEAR(PA_8[[#This Row],[Date]])+IF(MONTH(PA_8[[#This Row],[Date]])&gt;=4,1,0)</f>
        <v>2026</v>
      </c>
      <c r="D67" s="34">
        <f>YEAR(PA_8[[#This Row],[Date]])</f>
        <v>2025</v>
      </c>
      <c r="E67" s="149" t="s">
        <v>324</v>
      </c>
      <c r="F67" s="149" t="s">
        <v>324</v>
      </c>
      <c r="G67" s="169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49" t="s">
        <v>416</v>
      </c>
      <c r="M67" s="35" t="s">
        <v>348</v>
      </c>
      <c r="N67" s="35" t="s">
        <v>349</v>
      </c>
      <c r="O67" s="38" t="s">
        <v>370</v>
      </c>
      <c r="P67" s="35" t="s">
        <v>363</v>
      </c>
      <c r="Q67" s="35" t="s">
        <v>1113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08">
        <f>IFERROR(_xlfn.XLOOKUP(PA_8[[#This Row],[Affected Equipment ]],'Basic Data'!$P:$P,'Basic Data'!$T:$T),"")</f>
        <v>1.2181305299503655E-4</v>
      </c>
      <c r="W67" s="293" t="s">
        <v>1103</v>
      </c>
      <c r="X67" s="150" t="s">
        <v>1126</v>
      </c>
      <c r="Y67" s="150" t="s">
        <v>1127</v>
      </c>
      <c r="Z67" s="260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1128</v>
      </c>
      <c r="AI67" s="149" t="s">
        <v>366</v>
      </c>
      <c r="AJ67" s="37">
        <f>IFERROR(PA_8[[#This Row],[Breakdown Time]]*PA_8[[#This Row],[Plant Equivalent Weightage]],"")</f>
        <v>4.8725221198014641E-4</v>
      </c>
      <c r="AK67" s="262">
        <v>1.22</v>
      </c>
      <c r="AL67" s="151">
        <f>U67*PA_8[[#This Row],[Lost PoA(Wh/m2)]]*84.2%</f>
        <v>16.235528200000001</v>
      </c>
      <c r="AM67" s="151"/>
    </row>
    <row r="68" spans="1:39">
      <c r="A68" s="147">
        <v>59</v>
      </c>
      <c r="B68" s="148">
        <v>45821</v>
      </c>
      <c r="C68" s="180">
        <f>YEAR(PA_8[[#This Row],[Date]])+IF(MONTH(PA_8[[#This Row],[Date]])&gt;=4,1,0)</f>
        <v>2026</v>
      </c>
      <c r="D68" s="34">
        <f>YEAR(PA_8[[#This Row],[Date]])</f>
        <v>2025</v>
      </c>
      <c r="E68" s="149" t="s">
        <v>324</v>
      </c>
      <c r="F68" s="149" t="s">
        <v>324</v>
      </c>
      <c r="G68" s="169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49" t="s">
        <v>412</v>
      </c>
      <c r="M68" s="35" t="s">
        <v>348</v>
      </c>
      <c r="N68" s="35" t="s">
        <v>369</v>
      </c>
      <c r="O68" s="38" t="s">
        <v>382</v>
      </c>
      <c r="P68" s="35" t="s">
        <v>371</v>
      </c>
      <c r="Q68" s="35" t="s">
        <v>1113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08">
        <f>IFERROR(_xlfn.XLOOKUP(PA_8[[#This Row],[Affected Equipment ]],'Basic Data'!$P:$P,'Basic Data'!$T:$T),"")</f>
        <v>1.2293060393994514E-4</v>
      </c>
      <c r="W68" s="293" t="s">
        <v>1103</v>
      </c>
      <c r="X68" s="150" t="s">
        <v>1129</v>
      </c>
      <c r="Y68" s="150" t="s">
        <v>1130</v>
      </c>
      <c r="Z68" s="260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1131</v>
      </c>
      <c r="AI68" s="149" t="s">
        <v>366</v>
      </c>
      <c r="AJ68" s="37">
        <f>IFERROR(PA_8[[#This Row],[Breakdown Time]]*PA_8[[#This Row],[Plant Equivalent Weightage]],"")</f>
        <v>5.9416458570973505E-4</v>
      </c>
      <c r="AK68" s="262">
        <v>1.34</v>
      </c>
      <c r="AL68" s="151">
        <f>U68*PA_8[[#This Row],[Lost PoA(Wh/m2)]]*84.2%</f>
        <v>17.996066000000003</v>
      </c>
      <c r="AM68" s="151"/>
    </row>
    <row r="69" spans="1:39">
      <c r="A69" s="147">
        <v>60</v>
      </c>
      <c r="B69" s="148">
        <v>45826</v>
      </c>
      <c r="C69" s="180">
        <f>YEAR(PA_8[[#This Row],[Date]])+IF(MONTH(PA_8[[#This Row],[Date]])&gt;=4,1,0)</f>
        <v>2026</v>
      </c>
      <c r="D69" s="34">
        <f>YEAR(PA_8[[#This Row],[Date]])</f>
        <v>2025</v>
      </c>
      <c r="E69" s="149" t="s">
        <v>324</v>
      </c>
      <c r="F69" s="149" t="s">
        <v>324</v>
      </c>
      <c r="G69" s="169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49" t="s">
        <v>407</v>
      </c>
      <c r="M69" s="35" t="s">
        <v>375</v>
      </c>
      <c r="N69" s="35" t="s">
        <v>349</v>
      </c>
      <c r="O69" s="38" t="s">
        <v>370</v>
      </c>
      <c r="P69" s="295" t="s">
        <v>363</v>
      </c>
      <c r="Q69" s="295" t="s">
        <v>1113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08">
        <f>IFERROR(_xlfn.XLOOKUP(PA_8[[#This Row],[Affected Equipment ]],'Basic Data'!$P:$P,'Basic Data'!$T:$T),"")</f>
        <v>1.2181305299503655E-4</v>
      </c>
      <c r="W69" s="293" t="s">
        <v>1103</v>
      </c>
      <c r="X69" s="296" t="s">
        <v>1126</v>
      </c>
      <c r="Y69" s="296" t="s">
        <v>1132</v>
      </c>
      <c r="Z69" s="260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297" t="s">
        <v>1133</v>
      </c>
      <c r="AI69" s="298" t="s">
        <v>366</v>
      </c>
      <c r="AJ69" s="37">
        <f>IFERROR(PA_8[[#This Row],[Breakdown Time]]*PA_8[[#This Row],[Plant Equivalent Weightage]],"")</f>
        <v>7.5118049346939203E-4</v>
      </c>
      <c r="AK69" s="262">
        <v>1.02</v>
      </c>
      <c r="AL69" s="151">
        <f>U69*PA_8[[#This Row],[Lost PoA(Wh/m2)]]*84.2%</f>
        <v>13.573966199999999</v>
      </c>
      <c r="AM69" s="151"/>
    </row>
    <row r="70" spans="1:39">
      <c r="A70" s="147">
        <v>61</v>
      </c>
      <c r="B70" s="148">
        <v>45826</v>
      </c>
      <c r="C70" s="180">
        <f>YEAR(PA_8[[#This Row],[Date]])+IF(MONTH(PA_8[[#This Row],[Date]])&gt;=4,1,0)</f>
        <v>2026</v>
      </c>
      <c r="D70" s="34">
        <f>YEAR(PA_8[[#This Row],[Date]])</f>
        <v>2025</v>
      </c>
      <c r="E70" s="149" t="s">
        <v>324</v>
      </c>
      <c r="F70" s="149" t="s">
        <v>324</v>
      </c>
      <c r="G70" s="169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49" t="s">
        <v>407</v>
      </c>
      <c r="M70" s="35" t="s">
        <v>375</v>
      </c>
      <c r="N70" s="35" t="s">
        <v>349</v>
      </c>
      <c r="O70" s="38" t="s">
        <v>377</v>
      </c>
      <c r="P70" s="295" t="s">
        <v>363</v>
      </c>
      <c r="Q70" s="295" t="s">
        <v>1113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08">
        <f>IFERROR(_xlfn.XLOOKUP(PA_8[[#This Row],[Affected Equipment ]],'Basic Data'!$P:$P,'Basic Data'!$T:$T),"")</f>
        <v>1.2181305299503655E-4</v>
      </c>
      <c r="W70" s="293" t="s">
        <v>1103</v>
      </c>
      <c r="X70" s="296" t="s">
        <v>1129</v>
      </c>
      <c r="Y70" s="296" t="s">
        <v>1130</v>
      </c>
      <c r="Z70" s="260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297" t="s">
        <v>1131</v>
      </c>
      <c r="AI70" s="298" t="s">
        <v>366</v>
      </c>
      <c r="AJ70" s="37">
        <f>IFERROR(PA_8[[#This Row],[Breakdown Time]]*PA_8[[#This Row],[Plant Equivalent Weightage]],"")</f>
        <v>4.6085938383122162E-4</v>
      </c>
      <c r="AK70" s="262"/>
      <c r="AL70" s="151">
        <f>U70*PA_8[[#This Row],[Lost PoA(Wh/m2)]]*84.2%</f>
        <v>0</v>
      </c>
      <c r="AM70" s="151"/>
    </row>
    <row r="71" spans="1:39">
      <c r="A71" s="147">
        <v>62</v>
      </c>
      <c r="B71" s="148">
        <v>45834</v>
      </c>
      <c r="C71" s="180">
        <f>YEAR(PA_8[[#This Row],[Date]])+IF(MONTH(PA_8[[#This Row],[Date]])&gt;=4,1,0)</f>
        <v>2026</v>
      </c>
      <c r="D71" s="34">
        <f>YEAR(PA_8[[#This Row],[Date]])</f>
        <v>2025</v>
      </c>
      <c r="E71" s="149" t="s">
        <v>324</v>
      </c>
      <c r="F71" s="149" t="s">
        <v>324</v>
      </c>
      <c r="G71" s="169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49" t="s">
        <v>422</v>
      </c>
      <c r="M71" s="35" t="s">
        <v>348</v>
      </c>
      <c r="N71" s="35"/>
      <c r="O71" s="38"/>
      <c r="P71" s="295"/>
      <c r="Q71" s="295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5837.9900000000007</v>
      </c>
      <c r="V71" s="308">
        <f>IFERROR(_xlfn.XLOOKUP(PA_8[[#This Row],[Affected Equipment ]],'Basic Data'!$P:$P,'Basic Data'!$T:$T),"")</f>
        <v>4.4994836143909742E-2</v>
      </c>
      <c r="W71" s="304" t="s">
        <v>1103</v>
      </c>
      <c r="X71" s="300" t="s">
        <v>1248</v>
      </c>
      <c r="Y71" s="300" t="s">
        <v>1249</v>
      </c>
      <c r="Z71" s="260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01" t="s">
        <v>1250</v>
      </c>
      <c r="AI71" s="302" t="s">
        <v>366</v>
      </c>
      <c r="AJ71" s="37">
        <f>IFERROR(PA_8[[#This Row],[Breakdown Time]]*PA_8[[#This Row],[Plant Equivalent Weightage]],"")</f>
        <v>0.26246987750614009</v>
      </c>
      <c r="AK71" s="262">
        <v>0.18</v>
      </c>
      <c r="AL71" s="151">
        <f>U71*PA_8[[#This Row],[Lost PoA(Wh/m2)]]*84.2%</f>
        <v>884.80576440000016</v>
      </c>
      <c r="AM71" s="151"/>
    </row>
    <row r="72" spans="1:39">
      <c r="A72" s="147">
        <v>63</v>
      </c>
      <c r="B72" s="148">
        <v>45835</v>
      </c>
      <c r="C72" s="180">
        <f>YEAR(PA_8[[#This Row],[Date]])+IF(MONTH(PA_8[[#This Row],[Date]])&gt;=4,1,0)</f>
        <v>2026</v>
      </c>
      <c r="D72" s="34">
        <f>YEAR(PA_8[[#This Row],[Date]])</f>
        <v>2025</v>
      </c>
      <c r="E72" s="149" t="s">
        <v>324</v>
      </c>
      <c r="F72" s="149" t="s">
        <v>324</v>
      </c>
      <c r="G72" s="169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49" t="s">
        <v>422</v>
      </c>
      <c r="M72" s="35"/>
      <c r="N72" s="35"/>
      <c r="O72" s="38"/>
      <c r="P72" s="35"/>
      <c r="Q72" s="35" t="s">
        <v>352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10358.51</v>
      </c>
      <c r="V72" s="308">
        <f>IFERROR(_xlfn.XLOOKUP(PA_8[[#This Row],[Affected Equipment ]],'Basic Data'!$P:$P,'Basic Data'!$T:$T),"")</f>
        <v>7.9835604402380009E-2</v>
      </c>
      <c r="W72" s="304" t="s">
        <v>1103</v>
      </c>
      <c r="X72" s="150" t="s">
        <v>1245</v>
      </c>
      <c r="Y72" s="150" t="s">
        <v>1246</v>
      </c>
      <c r="Z72" s="260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1247</v>
      </c>
      <c r="AI72" s="298" t="s">
        <v>366</v>
      </c>
      <c r="AJ72" s="37">
        <f>IFERROR(PA_8[[#This Row],[Breakdown Time]]*PA_8[[#This Row],[Plant Equivalent Weightage]],"")</f>
        <v>0.19958901100595017</v>
      </c>
      <c r="AK72" s="262">
        <v>1.01</v>
      </c>
      <c r="AL72" s="151">
        <f>U72*PA_8[[#This Row],[Lost PoA(Wh/m2)]]*84.2%</f>
        <v>8809.0840742000019</v>
      </c>
      <c r="AM72" s="151"/>
    </row>
    <row r="73" spans="1:39">
      <c r="A73" s="147">
        <v>64</v>
      </c>
      <c r="B73" s="148">
        <v>45837</v>
      </c>
      <c r="C73" s="180">
        <f>YEAR(PA_8[[#This Row],[Date]])+IF(MONTH(PA_8[[#This Row],[Date]])&gt;=4,1,0)</f>
        <v>2026</v>
      </c>
      <c r="D73" s="34">
        <f>YEAR(PA_8[[#This Row],[Date]])</f>
        <v>2025</v>
      </c>
      <c r="E73" s="149" t="s">
        <v>324</v>
      </c>
      <c r="F73" s="149" t="s">
        <v>324</v>
      </c>
      <c r="G73" s="169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49" t="s">
        <v>412</v>
      </c>
      <c r="M73" s="35" t="s">
        <v>348</v>
      </c>
      <c r="N73" s="35" t="s">
        <v>376</v>
      </c>
      <c r="O73" s="38" t="s">
        <v>377</v>
      </c>
      <c r="P73" s="35" t="s">
        <v>363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08">
        <f>IFERROR(_xlfn.XLOOKUP(PA_8[[#This Row],[Affected Equipment ]],'Basic Data'!$P:$P,'Basic Data'!$T:$T),"")</f>
        <v>1.2181305299503655E-4</v>
      </c>
      <c r="W73" s="304" t="s">
        <v>1103</v>
      </c>
      <c r="X73" s="150" t="s">
        <v>1251</v>
      </c>
      <c r="Y73" s="150" t="s">
        <v>1251</v>
      </c>
      <c r="Z73" s="260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1260</v>
      </c>
      <c r="AI73" s="303" t="s">
        <v>366</v>
      </c>
      <c r="AJ73" s="37"/>
      <c r="AK73" s="262">
        <v>1.61</v>
      </c>
      <c r="AL73" s="151">
        <f>U73*PA_8[[#This Row],[Lost PoA(Wh/m2)]]*84.2%</f>
        <v>21.425574100000002</v>
      </c>
      <c r="AM73" s="151"/>
    </row>
    <row r="74" spans="1:39">
      <c r="A74" s="147">
        <v>65</v>
      </c>
      <c r="B74" s="148">
        <v>45837</v>
      </c>
      <c r="C74" s="180">
        <f>YEAR(PA_8[[#This Row],[Date]])+IF(MONTH(PA_8[[#This Row],[Date]])&gt;=4,1,0)</f>
        <v>2026</v>
      </c>
      <c r="D74" s="34">
        <f>YEAR(PA_8[[#This Row],[Date]])</f>
        <v>2025</v>
      </c>
      <c r="E74" s="149" t="s">
        <v>324</v>
      </c>
      <c r="F74" s="149" t="s">
        <v>324</v>
      </c>
      <c r="G74" s="169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49" t="s">
        <v>412</v>
      </c>
      <c r="M74" s="35" t="s">
        <v>348</v>
      </c>
      <c r="N74" s="35" t="s">
        <v>376</v>
      </c>
      <c r="O74" s="38" t="s">
        <v>350</v>
      </c>
      <c r="P74" s="35" t="s">
        <v>378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08">
        <f>IFERROR(_xlfn.XLOOKUP(PA_8[[#This Row],[Affected Equipment ]],'Basic Data'!$P:$P,'Basic Data'!$T:$T),"")</f>
        <v>2.4139100410025592E-4</v>
      </c>
      <c r="W74" s="304" t="s">
        <v>1103</v>
      </c>
      <c r="X74" s="150" t="s">
        <v>1252</v>
      </c>
      <c r="Y74" s="150" t="s">
        <v>1252</v>
      </c>
      <c r="Z74" s="260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1260</v>
      </c>
      <c r="AI74" s="303" t="s">
        <v>366</v>
      </c>
      <c r="AJ74" s="37">
        <f>IFERROR(PA_8[[#This Row],[Breakdown Time]]*PA_8[[#This Row],[Plant Equivalent Weightage]],"")</f>
        <v>1.4483460246015355E-3</v>
      </c>
      <c r="AK74" s="262">
        <v>1.59</v>
      </c>
      <c r="AL74" s="151">
        <f>U74*PA_8[[#This Row],[Lost PoA(Wh/m2)]]*84.2%</f>
        <v>41.930589600000005</v>
      </c>
      <c r="AM74" s="151"/>
    </row>
    <row r="75" spans="1:39">
      <c r="A75" s="147">
        <v>66</v>
      </c>
      <c r="B75" s="148">
        <v>45837</v>
      </c>
      <c r="C75" s="180">
        <f>YEAR(PA_8[[#This Row],[Date]])+IF(MONTH(PA_8[[#This Row],[Date]])&gt;=4,1,0)</f>
        <v>2026</v>
      </c>
      <c r="D75" s="34">
        <f>YEAR(PA_8[[#This Row],[Date]])</f>
        <v>2025</v>
      </c>
      <c r="E75" s="149" t="s">
        <v>324</v>
      </c>
      <c r="F75" s="149" t="s">
        <v>324</v>
      </c>
      <c r="G75" s="169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49" t="s">
        <v>412</v>
      </c>
      <c r="M75" s="35" t="s">
        <v>348</v>
      </c>
      <c r="N75" s="35" t="s">
        <v>369</v>
      </c>
      <c r="O75" s="38" t="s">
        <v>362</v>
      </c>
      <c r="P75" s="35" t="s">
        <v>378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08">
        <f>IFERROR(_xlfn.XLOOKUP(PA_8[[#This Row],[Affected Equipment ]],'Basic Data'!$P:$P,'Basic Data'!$T:$T),"")</f>
        <v>2.4139100410025592E-4</v>
      </c>
      <c r="W75" s="304" t="s">
        <v>1103</v>
      </c>
      <c r="X75" s="150" t="s">
        <v>1253</v>
      </c>
      <c r="Y75" s="150" t="s">
        <v>1253</v>
      </c>
      <c r="Z75" s="260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1260</v>
      </c>
      <c r="AI75" s="303" t="s">
        <v>366</v>
      </c>
      <c r="AJ75" s="37">
        <f>IFERROR(PA_8[[#This Row],[Breakdown Time]]*PA_8[[#This Row],[Plant Equivalent Weightage]],"")</f>
        <v>1.4081141905848264E-3</v>
      </c>
      <c r="AK75" s="262">
        <v>1.5</v>
      </c>
      <c r="AL75" s="151">
        <f>U75*PA_8[[#This Row],[Lost PoA(Wh/m2)]]*84.2%</f>
        <v>39.55716000000001</v>
      </c>
      <c r="AM75" s="151"/>
    </row>
    <row r="76" spans="1:39">
      <c r="A76" s="147">
        <v>67</v>
      </c>
      <c r="B76" s="148">
        <v>45837</v>
      </c>
      <c r="C76" s="180">
        <f>YEAR(PA_8[[#This Row],[Date]])+IF(MONTH(PA_8[[#This Row],[Date]])&gt;=4,1,0)</f>
        <v>2026</v>
      </c>
      <c r="D76" s="34">
        <f>YEAR(PA_8[[#This Row],[Date]])</f>
        <v>2025</v>
      </c>
      <c r="E76" s="149" t="s">
        <v>324</v>
      </c>
      <c r="F76" s="149" t="s">
        <v>324</v>
      </c>
      <c r="G76" s="169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49" t="s">
        <v>412</v>
      </c>
      <c r="M76" s="35" t="s">
        <v>348</v>
      </c>
      <c r="N76" s="35" t="s">
        <v>369</v>
      </c>
      <c r="O76" s="38" t="s">
        <v>377</v>
      </c>
      <c r="P76" s="35" t="s">
        <v>383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08">
        <f>IFERROR(_xlfn.XLOOKUP(PA_8[[#This Row],[Affected Equipment ]],'Basic Data'!$P:$P,'Basic Data'!$T:$T),"")</f>
        <v>2.436261059900731E-4</v>
      </c>
      <c r="W76" s="304" t="s">
        <v>1103</v>
      </c>
      <c r="X76" s="150" t="s">
        <v>1254</v>
      </c>
      <c r="Y76" s="150" t="s">
        <v>1254</v>
      </c>
      <c r="Z76" s="260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1260</v>
      </c>
      <c r="AI76" s="303" t="s">
        <v>366</v>
      </c>
      <c r="AJ76" s="37">
        <f>IFERROR(PA_8[[#This Row],[Breakdown Time]]*PA_8[[#This Row],[Plant Equivalent Weightage]],"")</f>
        <v>1.5226631624379566E-3</v>
      </c>
      <c r="AK76" s="262">
        <v>1.2</v>
      </c>
      <c r="AL76" s="151">
        <f>U76*PA_8[[#This Row],[Lost PoA(Wh/m2)]]*84.2%</f>
        <v>31.938744</v>
      </c>
      <c r="AM76" s="151"/>
    </row>
    <row r="77" spans="1:39">
      <c r="A77" s="147">
        <v>68</v>
      </c>
      <c r="B77" s="148">
        <v>45837</v>
      </c>
      <c r="C77" s="180">
        <f>YEAR(PA_8[[#This Row],[Date]])+IF(MONTH(PA_8[[#This Row],[Date]])&gt;=4,1,0)</f>
        <v>2026</v>
      </c>
      <c r="D77" s="34">
        <f>YEAR(PA_8[[#This Row],[Date]])</f>
        <v>2025</v>
      </c>
      <c r="E77" s="149" t="s">
        <v>324</v>
      </c>
      <c r="F77" s="149" t="s">
        <v>324</v>
      </c>
      <c r="G77" s="169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49" t="s">
        <v>412</v>
      </c>
      <c r="M77" s="35" t="s">
        <v>348</v>
      </c>
      <c r="N77" s="35" t="s">
        <v>361</v>
      </c>
      <c r="O77" s="38" t="s">
        <v>362</v>
      </c>
      <c r="P77" s="35" t="s">
        <v>371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08">
        <f>IFERROR(_xlfn.XLOOKUP(PA_8[[#This Row],[Affected Equipment ]],'Basic Data'!$P:$P,'Basic Data'!$T:$T),"")</f>
        <v>1.2293060393994514E-4</v>
      </c>
      <c r="W77" s="304" t="s">
        <v>1103</v>
      </c>
      <c r="X77" s="150" t="s">
        <v>1254</v>
      </c>
      <c r="Y77" s="150" t="s">
        <v>1254</v>
      </c>
      <c r="Z77" s="260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1260</v>
      </c>
      <c r="AI77" s="303" t="s">
        <v>366</v>
      </c>
      <c r="AJ77" s="37">
        <f>IFERROR(PA_8[[#This Row],[Breakdown Time]]*PA_8[[#This Row],[Plant Equivalent Weightage]],"")</f>
        <v>7.6831627462465701E-4</v>
      </c>
      <c r="AK77" s="262">
        <v>1.31</v>
      </c>
      <c r="AL77" s="151">
        <f>U77*PA_8[[#This Row],[Lost PoA(Wh/m2)]]*84.2%</f>
        <v>17.593169000000003</v>
      </c>
      <c r="AM77" s="151"/>
    </row>
    <row r="78" spans="1:39">
      <c r="A78" s="147">
        <v>69</v>
      </c>
      <c r="B78" s="148">
        <v>45837</v>
      </c>
      <c r="C78" s="180">
        <f>YEAR(PA_8[[#This Row],[Date]])+IF(MONTH(PA_8[[#This Row],[Date]])&gt;=4,1,0)</f>
        <v>2026</v>
      </c>
      <c r="D78" s="34">
        <f>YEAR(PA_8[[#This Row],[Date]])</f>
        <v>2025</v>
      </c>
      <c r="E78" s="149" t="s">
        <v>324</v>
      </c>
      <c r="F78" s="149" t="s">
        <v>324</v>
      </c>
      <c r="G78" s="169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49" t="s">
        <v>416</v>
      </c>
      <c r="M78" s="35" t="s">
        <v>348</v>
      </c>
      <c r="N78" s="35" t="s">
        <v>369</v>
      </c>
      <c r="O78" s="38" t="s">
        <v>387</v>
      </c>
      <c r="P78" s="35" t="s">
        <v>363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08">
        <f>IFERROR(_xlfn.XLOOKUP(PA_8[[#This Row],[Affected Equipment ]],'Basic Data'!$P:$P,'Basic Data'!$T:$T),"")</f>
        <v>1.2181305299503655E-4</v>
      </c>
      <c r="W78" s="304" t="s">
        <v>1103</v>
      </c>
      <c r="X78" s="150" t="s">
        <v>1255</v>
      </c>
      <c r="Y78" s="150" t="s">
        <v>1255</v>
      </c>
      <c r="Z78" s="260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1260</v>
      </c>
      <c r="AI78" s="303" t="s">
        <v>366</v>
      </c>
      <c r="AJ78" s="37">
        <f>IFERROR(PA_8[[#This Row],[Breakdown Time]]*PA_8[[#This Row],[Plant Equivalent Weightage]],"")</f>
        <v>5.8876308947601011E-4</v>
      </c>
      <c r="AK78" s="262">
        <v>1.2</v>
      </c>
      <c r="AL78" s="151">
        <f>U78*PA_8[[#This Row],[Lost PoA(Wh/m2)]]*84.2%</f>
        <v>15.969372</v>
      </c>
      <c r="AM78" s="151"/>
    </row>
    <row r="79" spans="1:39">
      <c r="A79" s="147">
        <v>70</v>
      </c>
      <c r="B79" s="148">
        <v>45837</v>
      </c>
      <c r="C79" s="180">
        <f>YEAR(PA_8[[#This Row],[Date]])+IF(MONTH(PA_8[[#This Row],[Date]])&gt;=4,1,0)</f>
        <v>2026</v>
      </c>
      <c r="D79" s="34">
        <f>YEAR(PA_8[[#This Row],[Date]])</f>
        <v>2025</v>
      </c>
      <c r="E79" s="149" t="s">
        <v>324</v>
      </c>
      <c r="F79" s="149" t="s">
        <v>324</v>
      </c>
      <c r="G79" s="169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49" t="s">
        <v>416</v>
      </c>
      <c r="M79" s="35" t="s">
        <v>348</v>
      </c>
      <c r="N79" s="35" t="s">
        <v>361</v>
      </c>
      <c r="O79" s="38" t="s">
        <v>387</v>
      </c>
      <c r="P79" s="35" t="s">
        <v>363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08">
        <f>IFERROR(_xlfn.XLOOKUP(PA_8[[#This Row],[Affected Equipment ]],'Basic Data'!$P:$P,'Basic Data'!$T:$T),"")</f>
        <v>1.2181305299503655E-4</v>
      </c>
      <c r="W79" s="304" t="s">
        <v>1103</v>
      </c>
      <c r="X79" s="150" t="s">
        <v>1256</v>
      </c>
      <c r="Y79" s="150" t="s">
        <v>1256</v>
      </c>
      <c r="Z79" s="260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1260</v>
      </c>
      <c r="AI79" s="303" t="s">
        <v>366</v>
      </c>
      <c r="AJ79" s="37">
        <f>IFERROR(PA_8[[#This Row],[Breakdown Time]]*PA_8[[#This Row],[Plant Equivalent Weightage]],"")</f>
        <v>5.9891417722559648E-4</v>
      </c>
      <c r="AK79" s="262">
        <v>1.4</v>
      </c>
      <c r="AL79" s="151">
        <f>U79*PA_8[[#This Row],[Lost PoA(Wh/m2)]]*84.2%</f>
        <v>18.630934</v>
      </c>
      <c r="AM79" s="151"/>
    </row>
    <row r="80" spans="1:39">
      <c r="A80" s="147">
        <v>71</v>
      </c>
      <c r="B80" s="148">
        <v>45837</v>
      </c>
      <c r="C80" s="180">
        <f>YEAR(PA_8[[#This Row],[Date]])+IF(MONTH(PA_8[[#This Row],[Date]])&gt;=4,1,0)</f>
        <v>2026</v>
      </c>
      <c r="D80" s="34">
        <f>YEAR(PA_8[[#This Row],[Date]])</f>
        <v>2025</v>
      </c>
      <c r="E80" s="149" t="s">
        <v>324</v>
      </c>
      <c r="F80" s="149" t="s">
        <v>324</v>
      </c>
      <c r="G80" s="169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49" t="s">
        <v>416</v>
      </c>
      <c r="M80" s="35" t="s">
        <v>348</v>
      </c>
      <c r="N80" s="35" t="s">
        <v>361</v>
      </c>
      <c r="O80" s="38" t="s">
        <v>377</v>
      </c>
      <c r="P80" s="35" t="s">
        <v>363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08">
        <f>IFERROR(_xlfn.XLOOKUP(PA_8[[#This Row],[Affected Equipment ]],'Basic Data'!$P:$P,'Basic Data'!$T:$T),"")</f>
        <v>1.2181305299503655E-4</v>
      </c>
      <c r="W80" s="304" t="s">
        <v>1103</v>
      </c>
      <c r="X80" s="150" t="s">
        <v>1257</v>
      </c>
      <c r="Y80" s="150" t="s">
        <v>1257</v>
      </c>
      <c r="Z80" s="260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1260</v>
      </c>
      <c r="AI80" s="303" t="s">
        <v>366</v>
      </c>
      <c r="AJ80" s="37">
        <f>IFERROR(PA_8[[#This Row],[Breakdown Time]]*PA_8[[#This Row],[Plant Equivalent Weightage]],"")</f>
        <v>5.0349395237948456E-4</v>
      </c>
      <c r="AK80" s="262">
        <v>1.43</v>
      </c>
      <c r="AL80" s="151">
        <f>U80*PA_8[[#This Row],[Lost PoA(Wh/m2)]]*84.2%</f>
        <v>19.0301683</v>
      </c>
      <c r="AM80" s="151"/>
    </row>
    <row r="81" spans="1:39">
      <c r="A81" s="147">
        <v>72</v>
      </c>
      <c r="B81" s="148">
        <v>45837</v>
      </c>
      <c r="C81" s="180">
        <f>YEAR(PA_8[[#This Row],[Date]])+IF(MONTH(PA_8[[#This Row],[Date]])&gt;=4,1,0)</f>
        <v>2026</v>
      </c>
      <c r="D81" s="34">
        <f>YEAR(PA_8[[#This Row],[Date]])</f>
        <v>2025</v>
      </c>
      <c r="E81" s="149" t="s">
        <v>324</v>
      </c>
      <c r="F81" s="149" t="s">
        <v>324</v>
      </c>
      <c r="G81" s="169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49" t="s">
        <v>419</v>
      </c>
      <c r="M81" s="35" t="s">
        <v>360</v>
      </c>
      <c r="N81" s="35" t="s">
        <v>349</v>
      </c>
      <c r="O81" s="38" t="s">
        <v>362</v>
      </c>
      <c r="P81" s="35" t="s">
        <v>371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08">
        <f>IFERROR(_xlfn.XLOOKUP(PA_8[[#This Row],[Affected Equipment ]],'Basic Data'!$P:$P,'Basic Data'!$T:$T),"")</f>
        <v>1.2293060393994514E-4</v>
      </c>
      <c r="W81" s="304" t="s">
        <v>1103</v>
      </c>
      <c r="X81" s="150" t="s">
        <v>1253</v>
      </c>
      <c r="Y81" s="150" t="s">
        <v>1253</v>
      </c>
      <c r="Z81" s="260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1260</v>
      </c>
      <c r="AI81" s="303" t="s">
        <v>366</v>
      </c>
      <c r="AJ81" s="37">
        <f>IFERROR(PA_8[[#This Row],[Breakdown Time]]*PA_8[[#This Row],[Plant Equivalent Weightage]],"")</f>
        <v>5.1221084974977155E-4</v>
      </c>
      <c r="AK81" s="262">
        <v>1.6</v>
      </c>
      <c r="AL81" s="151">
        <f>U81*PA_8[[#This Row],[Lost PoA(Wh/m2)]]*84.2%</f>
        <v>21.487840000000002</v>
      </c>
      <c r="AM81" s="151"/>
    </row>
    <row r="82" spans="1:39">
      <c r="A82" s="147">
        <v>73</v>
      </c>
      <c r="B82" s="148">
        <v>45837</v>
      </c>
      <c r="C82" s="180">
        <f>YEAR(PA_8[[#This Row],[Date]])+IF(MONTH(PA_8[[#This Row],[Date]])&gt;=4,1,0)</f>
        <v>2026</v>
      </c>
      <c r="D82" s="34">
        <f>YEAR(PA_8[[#This Row],[Date]])</f>
        <v>2025</v>
      </c>
      <c r="E82" s="149" t="s">
        <v>324</v>
      </c>
      <c r="F82" s="149" t="s">
        <v>324</v>
      </c>
      <c r="G82" s="169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49" t="s">
        <v>412</v>
      </c>
      <c r="M82" s="35" t="s">
        <v>348</v>
      </c>
      <c r="N82" s="35" t="s">
        <v>376</v>
      </c>
      <c r="O82" s="38" t="s">
        <v>382</v>
      </c>
      <c r="P82" s="35" t="s">
        <v>363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08">
        <f>IFERROR(_xlfn.XLOOKUP(PA_8[[#This Row],[Affected Equipment ]],'Basic Data'!$P:$P,'Basic Data'!$T:$T),"")</f>
        <v>1.2181305299503655E-4</v>
      </c>
      <c r="W82" s="304" t="s">
        <v>1103</v>
      </c>
      <c r="X82" s="150" t="s">
        <v>1258</v>
      </c>
      <c r="Y82" s="150" t="s">
        <v>1258</v>
      </c>
      <c r="Z82" s="260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1260</v>
      </c>
      <c r="AI82" s="303" t="s">
        <v>366</v>
      </c>
      <c r="AJ82" s="37">
        <f>IFERROR(PA_8[[#This Row],[Breakdown Time]]*PA_8[[#This Row],[Plant Equivalent Weightage]],"")</f>
        <v>7.5118049346939203E-4</v>
      </c>
      <c r="AK82" s="262">
        <v>1.6</v>
      </c>
      <c r="AL82" s="151">
        <f>U82*PA_8[[#This Row],[Lost PoA(Wh/m2)]]*84.2%</f>
        <v>21.292496000000003</v>
      </c>
      <c r="AM82" s="151"/>
    </row>
    <row r="83" spans="1:39">
      <c r="A83" s="147">
        <v>74</v>
      </c>
      <c r="B83" s="148">
        <v>45837</v>
      </c>
      <c r="C83" s="180">
        <f>YEAR(PA_8[[#This Row],[Date]])+IF(MONTH(PA_8[[#This Row],[Date]])&gt;=4,1,0)</f>
        <v>2026</v>
      </c>
      <c r="D83" s="34">
        <f>YEAR(PA_8[[#This Row],[Date]])</f>
        <v>2025</v>
      </c>
      <c r="E83" s="149" t="s">
        <v>324</v>
      </c>
      <c r="F83" s="149" t="s">
        <v>324</v>
      </c>
      <c r="G83" s="169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49" t="s">
        <v>412</v>
      </c>
      <c r="M83" s="35" t="s">
        <v>348</v>
      </c>
      <c r="N83" s="35" t="s">
        <v>369</v>
      </c>
      <c r="O83" s="38" t="s">
        <v>370</v>
      </c>
      <c r="P83" s="35" t="s">
        <v>363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08">
        <f>IFERROR(_xlfn.XLOOKUP(PA_8[[#This Row],[Affected Equipment ]],'Basic Data'!$P:$P,'Basic Data'!$T:$T),"")</f>
        <v>1.2181305299503655E-4</v>
      </c>
      <c r="W83" s="304" t="s">
        <v>1103</v>
      </c>
      <c r="X83" s="150" t="s">
        <v>1259</v>
      </c>
      <c r="Y83" s="150" t="s">
        <v>1259</v>
      </c>
      <c r="Z83" s="260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1260</v>
      </c>
      <c r="AI83" s="303" t="s">
        <v>366</v>
      </c>
      <c r="AJ83" s="37">
        <f>IFERROR(PA_8[[#This Row],[Breakdown Time]]*PA_8[[#This Row],[Plant Equivalent Weightage]],"")</f>
        <v>7.4102940571980566E-4</v>
      </c>
      <c r="AK83" s="262">
        <v>1.6</v>
      </c>
      <c r="AL83" s="151">
        <f>U83*PA_8[[#This Row],[Lost PoA(Wh/m2)]]*84.2%</f>
        <v>21.292496000000003</v>
      </c>
      <c r="AM83" s="151"/>
    </row>
    <row r="84" spans="1:39">
      <c r="A84" s="147">
        <v>75</v>
      </c>
      <c r="B84" s="148">
        <v>45837</v>
      </c>
      <c r="C84" s="180">
        <f>YEAR(PA_8[[#This Row],[Date]])+IF(MONTH(PA_8[[#This Row],[Date]])&gt;=4,1,0)</f>
        <v>2026</v>
      </c>
      <c r="D84" s="34">
        <f>YEAR(PA_8[[#This Row],[Date]])</f>
        <v>2025</v>
      </c>
      <c r="E84" s="149" t="s">
        <v>324</v>
      </c>
      <c r="F84" s="149" t="s">
        <v>324</v>
      </c>
      <c r="G84" s="169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49" t="s">
        <v>416</v>
      </c>
      <c r="M84" s="35" t="s">
        <v>348</v>
      </c>
      <c r="N84" s="35" t="s">
        <v>369</v>
      </c>
      <c r="O84" s="38" t="s">
        <v>382</v>
      </c>
      <c r="P84" s="35" t="s">
        <v>371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08">
        <f>IFERROR(_xlfn.XLOOKUP(PA_8[[#This Row],[Affected Equipment ]],'Basic Data'!$P:$P,'Basic Data'!$T:$T),"")</f>
        <v>1.2293060393994514E-4</v>
      </c>
      <c r="W84" s="304" t="s">
        <v>1103</v>
      </c>
      <c r="X84" s="150" t="s">
        <v>1253</v>
      </c>
      <c r="Y84" s="150" t="s">
        <v>1253</v>
      </c>
      <c r="Z84" s="260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1260</v>
      </c>
      <c r="AI84" s="303" t="s">
        <v>366</v>
      </c>
      <c r="AJ84" s="37">
        <f>IFERROR(PA_8[[#This Row],[Breakdown Time]]*PA_8[[#This Row],[Plant Equivalent Weightage]],"")</f>
        <v>7.3758362363967082E-4</v>
      </c>
      <c r="AK84" s="262">
        <v>1.32</v>
      </c>
      <c r="AL84" s="151">
        <f>U84*PA_8[[#This Row],[Lost PoA(Wh/m2)]]*84.2%</f>
        <v>17.727468000000002</v>
      </c>
      <c r="AM84" s="151"/>
    </row>
    <row r="85" spans="1:39">
      <c r="A85" s="147">
        <v>76</v>
      </c>
      <c r="B85" s="148">
        <v>45838</v>
      </c>
      <c r="C85" s="180">
        <f>YEAR(PA_8[[#This Row],[Date]])+IF(MONTH(PA_8[[#This Row],[Date]])&gt;=4,1,0)</f>
        <v>2026</v>
      </c>
      <c r="D85" s="34">
        <f>YEAR(PA_8[[#This Row],[Date]])</f>
        <v>2025</v>
      </c>
      <c r="E85" s="149" t="s">
        <v>324</v>
      </c>
      <c r="F85" s="149" t="s">
        <v>324</v>
      </c>
      <c r="G85" s="169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49" t="s">
        <v>407</v>
      </c>
      <c r="M85" s="35" t="s">
        <v>360</v>
      </c>
      <c r="N85" s="35" t="s">
        <v>361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08">
        <f>IFERROR(_xlfn.XLOOKUP(PA_8[[#This Row],[Affected Equipment ]],'Basic Data'!$P:$P,'Basic Data'!$T:$T),"")</f>
        <v>1.5735117304312977E-2</v>
      </c>
      <c r="W85" s="306" t="s">
        <v>328</v>
      </c>
      <c r="X85" s="150" t="s">
        <v>1085</v>
      </c>
      <c r="Y85" s="150" t="s">
        <v>1261</v>
      </c>
      <c r="Z85" s="260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1262</v>
      </c>
      <c r="AI85" s="149" t="s">
        <v>366</v>
      </c>
      <c r="AJ85" s="37">
        <f>IFERROR(PA_8[[#This Row],[Breakdown Time]]*PA_8[[#This Row],[Plant Equivalent Weightage]],"")</f>
        <v>1.4161605573881672E-2</v>
      </c>
      <c r="AK85" s="262">
        <v>0.22</v>
      </c>
      <c r="AL85" s="151">
        <f>U85*PA_8[[#This Row],[Lost PoA(Wh/m2)]]*84.2%</f>
        <v>378.18598400000008</v>
      </c>
      <c r="AM85" s="151"/>
    </row>
    <row r="86" spans="1:39">
      <c r="A86" s="147">
        <v>77</v>
      </c>
      <c r="B86" s="148">
        <v>45839</v>
      </c>
      <c r="C86" s="180">
        <f>YEAR(PA_8[[#This Row],[Date]])+IF(MONTH(PA_8[[#This Row],[Date]])&gt;=4,1,0)</f>
        <v>2026</v>
      </c>
      <c r="D86" s="34">
        <f>YEAR(PA_8[[#This Row],[Date]])</f>
        <v>2025</v>
      </c>
      <c r="E86" s="149" t="s">
        <v>324</v>
      </c>
      <c r="F86" s="149" t="s">
        <v>324</v>
      </c>
      <c r="G86" s="169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49" t="s">
        <v>407</v>
      </c>
      <c r="M86" s="35" t="s">
        <v>360</v>
      </c>
      <c r="N86" s="35" t="s">
        <v>361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08">
        <f>IFERROR(_xlfn.XLOOKUP(PA_8[[#This Row],[Affected Equipment ]],'Basic Data'!$P:$P,'Basic Data'!$T:$T),"")</f>
        <v>1.5735117304312977E-2</v>
      </c>
      <c r="W86" s="306" t="s">
        <v>328</v>
      </c>
      <c r="X86" s="150" t="s">
        <v>1085</v>
      </c>
      <c r="Y86" s="150" t="s">
        <v>1263</v>
      </c>
      <c r="Z86" s="260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1264</v>
      </c>
      <c r="AI86" s="149" t="s">
        <v>366</v>
      </c>
      <c r="AJ86" s="37">
        <f>IFERROR(PA_8[[#This Row],[Breakdown Time]]*PA_8[[#This Row],[Plant Equivalent Weightage]],"")</f>
        <v>1.4423857528953553E-2</v>
      </c>
      <c r="AK86" s="262">
        <v>0.18</v>
      </c>
      <c r="AL86" s="151">
        <f>U86*PA_8[[#This Row],[Lost PoA(Wh/m2)]]*85.3%</f>
        <v>313.467264</v>
      </c>
      <c r="AM86" s="151"/>
    </row>
    <row r="87" spans="1:39">
      <c r="A87" s="147">
        <v>78</v>
      </c>
      <c r="B87" s="148">
        <v>45840</v>
      </c>
      <c r="C87" s="180">
        <f>YEAR(PA_8[[#This Row],[Date]])+IF(MONTH(PA_8[[#This Row],[Date]])&gt;=4,1,0)</f>
        <v>2026</v>
      </c>
      <c r="D87" s="34">
        <f>YEAR(PA_8[[#This Row],[Date]])</f>
        <v>2025</v>
      </c>
      <c r="E87" s="149" t="s">
        <v>324</v>
      </c>
      <c r="F87" s="149" t="s">
        <v>324</v>
      </c>
      <c r="G87" s="169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49" t="s">
        <v>385</v>
      </c>
      <c r="M87" s="35" t="s">
        <v>348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3732.3</v>
      </c>
      <c r="V87" s="308">
        <f>IFERROR(_xlfn.XLOOKUP(PA_8[[#This Row],[Affected Equipment ]],'Basic Data'!$P:$P,'Basic Data'!$T:$T),"")</f>
        <v>2.8765761321947164E-2</v>
      </c>
      <c r="W87" s="312" t="s">
        <v>328</v>
      </c>
      <c r="X87" s="150" t="s">
        <v>1271</v>
      </c>
      <c r="Y87" s="150" t="s">
        <v>1271</v>
      </c>
      <c r="Z87" s="260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1272</v>
      </c>
      <c r="AI87" s="149" t="s">
        <v>366</v>
      </c>
      <c r="AJ87" s="37">
        <f>IFERROR(PA_8[[#This Row],[Breakdown Time]]*PA_8[[#This Row],[Plant Equivalent Weightage]],"")</f>
        <v>1.8218315503899844E-2</v>
      </c>
      <c r="AK87" s="262">
        <v>0.42</v>
      </c>
      <c r="AL87" s="151">
        <f>U87*PA_8[[#This Row],[Lost PoA(Wh/m2)]]*85.3%</f>
        <v>1337.1337980000001</v>
      </c>
      <c r="AM87" s="151"/>
    </row>
    <row r="88" spans="1:39">
      <c r="A88" s="147">
        <v>79</v>
      </c>
      <c r="B88" s="148">
        <v>45840</v>
      </c>
      <c r="C88" s="180">
        <f>YEAR(PA_8[[#This Row],[Date]])+IF(MONTH(PA_8[[#This Row],[Date]])&gt;=4,1,0)</f>
        <v>2026</v>
      </c>
      <c r="D88" s="34">
        <f>YEAR(PA_8[[#This Row],[Date]])</f>
        <v>2025</v>
      </c>
      <c r="E88" s="149" t="s">
        <v>324</v>
      </c>
      <c r="F88" s="149" t="s">
        <v>324</v>
      </c>
      <c r="G88" s="169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49" t="s">
        <v>385</v>
      </c>
      <c r="M88" s="35" t="s">
        <v>360</v>
      </c>
      <c r="N88" s="35" t="s">
        <v>361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11">
        <f>IFERROR(_xlfn.XLOOKUP(PA_8[[#This Row],[Affected Equipment ]],'Basic Data'!$P:$P,'Basic Data'!$T:$T),"")</f>
        <v>1.4259950057033637E-2</v>
      </c>
      <c r="W88" s="312" t="s">
        <v>328</v>
      </c>
      <c r="X88" s="150" t="s">
        <v>1271</v>
      </c>
      <c r="Y88" s="150" t="s">
        <v>1271</v>
      </c>
      <c r="Z88" s="260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1272</v>
      </c>
      <c r="AI88" s="149" t="s">
        <v>366</v>
      </c>
      <c r="AJ88" s="37">
        <f>IFERROR(PA_8[[#This Row],[Breakdown Time]]*PA_8[[#This Row],[Plant Equivalent Weightage]],"")</f>
        <v>2.0676927582698758E-2</v>
      </c>
      <c r="AK88" s="262">
        <v>0.95</v>
      </c>
      <c r="AL88" s="151">
        <f>U88*PA_8[[#This Row],[Lost PoA(Wh/m2)]]*85.3%</f>
        <v>1499.3095700000001</v>
      </c>
      <c r="AM88" s="151"/>
    </row>
    <row r="89" spans="1:39">
      <c r="A89" s="147">
        <v>80</v>
      </c>
      <c r="B89" s="148">
        <v>45840</v>
      </c>
      <c r="C89" s="180">
        <f>YEAR(PA_8[[#This Row],[Date]])+IF(MONTH(PA_8[[#This Row],[Date]])&gt;=4,1,0)</f>
        <v>2026</v>
      </c>
      <c r="D89" s="34">
        <f>YEAR(PA_8[[#This Row],[Date]])</f>
        <v>2025</v>
      </c>
      <c r="E89" s="149" t="s">
        <v>324</v>
      </c>
      <c r="F89" s="149" t="s">
        <v>324</v>
      </c>
      <c r="G89" s="169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49" t="s">
        <v>385</v>
      </c>
      <c r="M89" s="35" t="s">
        <v>360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08">
        <f>IFERROR(_xlfn.XLOOKUP(PA_8[[#This Row],[Affected Equipment ]],'Basic Data'!$P:$P,'Basic Data'!$T:$T),"")</f>
        <v>2.8765761321947168E-2</v>
      </c>
      <c r="W89" s="312" t="s">
        <v>328</v>
      </c>
      <c r="X89" s="150" t="s">
        <v>1271</v>
      </c>
      <c r="Y89" s="150" t="s">
        <v>1271</v>
      </c>
      <c r="Z89" s="260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1272</v>
      </c>
      <c r="AI89" s="149" t="s">
        <v>366</v>
      </c>
      <c r="AJ89" s="37">
        <f>IFERROR(PA_8[[#This Row],[Breakdown Time]]*PA_8[[#This Row],[Plant Equivalent Weightage]],"")</f>
        <v>1.8218315503899848E-2</v>
      </c>
      <c r="AK89" s="262">
        <v>0.42</v>
      </c>
      <c r="AL89" s="151">
        <f>U89*PA_8[[#This Row],[Lost PoA(Wh/m2)]]*85.3%</f>
        <v>1337.1337980000003</v>
      </c>
      <c r="AM89" s="151"/>
    </row>
    <row r="90" spans="1:39">
      <c r="A90" s="147">
        <v>81</v>
      </c>
      <c r="B90" s="148">
        <v>45840</v>
      </c>
      <c r="C90" s="180">
        <f>YEAR(PA_8[[#This Row],[Date]])+IF(MONTH(PA_8[[#This Row],[Date]])&gt;=4,1,0)</f>
        <v>2026</v>
      </c>
      <c r="D90" s="34">
        <f>YEAR(PA_8[[#This Row],[Date]])</f>
        <v>2025</v>
      </c>
      <c r="E90" s="149" t="s">
        <v>324</v>
      </c>
      <c r="F90" s="149" t="s">
        <v>324</v>
      </c>
      <c r="G90" s="169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49" t="s">
        <v>396</v>
      </c>
      <c r="M90" s="35" t="s">
        <v>348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08">
        <f>IFERROR(_xlfn.XLOOKUP(PA_8[[#This Row],[Affected Equipment ]],'Basic Data'!$P:$P,'Basic Data'!$T:$T),"")</f>
        <v>4.6185027900237395E-2</v>
      </c>
      <c r="W90" s="312" t="s">
        <v>328</v>
      </c>
      <c r="X90" s="150" t="s">
        <v>1271</v>
      </c>
      <c r="Y90" s="150" t="s">
        <v>1271</v>
      </c>
      <c r="Z90" s="260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1272</v>
      </c>
      <c r="AI90" s="149" t="s">
        <v>366</v>
      </c>
      <c r="AJ90" s="37">
        <f>IFERROR(PA_8[[#This Row],[Breakdown Time]]*PA_8[[#This Row],[Plant Equivalent Weightage]],"")</f>
        <v>7.0047292315360041E-2</v>
      </c>
      <c r="AK90" s="262">
        <v>0.99</v>
      </c>
      <c r="AL90" s="151">
        <f>U90*PA_8[[#This Row],[Lost PoA(Wh/m2)]]*85.3%</f>
        <v>5060.4146950500008</v>
      </c>
      <c r="AM90" s="151"/>
    </row>
    <row r="91" spans="1:39">
      <c r="A91" s="147">
        <v>82</v>
      </c>
      <c r="B91" s="148">
        <v>45842</v>
      </c>
      <c r="C91" s="180">
        <f>YEAR(PA_8[[#This Row],[Date]])+IF(MONTH(PA_8[[#This Row],[Date]])&gt;=4,1,0)</f>
        <v>2026</v>
      </c>
      <c r="D91" s="34">
        <f>YEAR(PA_8[[#This Row],[Date]])</f>
        <v>2025</v>
      </c>
      <c r="E91" s="149" t="s">
        <v>324</v>
      </c>
      <c r="F91" s="149" t="s">
        <v>324</v>
      </c>
      <c r="G91" s="169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49" t="s">
        <v>407</v>
      </c>
      <c r="M91" s="35" t="s">
        <v>360</v>
      </c>
      <c r="N91" s="35" t="s">
        <v>361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11">
        <f>IFERROR(_xlfn.XLOOKUP(PA_8[[#This Row],[Affected Equipment ]],'Basic Data'!$P:$P,'Basic Data'!$T:$T),"")</f>
        <v>1.5735117304312977E-2</v>
      </c>
      <c r="W91" s="324" t="s">
        <v>1279</v>
      </c>
      <c r="X91" s="150" t="s">
        <v>1276</v>
      </c>
      <c r="Y91" s="150" t="s">
        <v>1276</v>
      </c>
      <c r="Z91" s="260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1277</v>
      </c>
      <c r="AI91" s="149" t="s">
        <v>366</v>
      </c>
      <c r="AJ91" s="37">
        <f>IFERROR(PA_8[[#This Row],[Breakdown Time]]*PA_8[[#This Row],[Plant Equivalent Weightage]],"")</f>
        <v>2.8847715057907126E-2</v>
      </c>
      <c r="AK91" s="262">
        <v>0.92</v>
      </c>
      <c r="AL91" s="151">
        <f>U91*PA_8[[#This Row],[Lost PoA(Wh/m2)]]*85.3%</f>
        <v>1602.1660160000001</v>
      </c>
      <c r="AM91" s="151"/>
    </row>
    <row r="92" spans="1:39">
      <c r="A92" s="147">
        <v>83</v>
      </c>
      <c r="B92" s="148">
        <v>45843</v>
      </c>
      <c r="C92" s="180">
        <f>YEAR(PA_8[[#This Row],[Date]])+IF(MONTH(PA_8[[#This Row],[Date]])&gt;=4,1,0)</f>
        <v>2026</v>
      </c>
      <c r="D92" s="34">
        <f>YEAR(PA_8[[#This Row],[Date]])</f>
        <v>2025</v>
      </c>
      <c r="E92" s="149" t="s">
        <v>324</v>
      </c>
      <c r="F92" s="149" t="s">
        <v>324</v>
      </c>
      <c r="G92" s="169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49" t="s">
        <v>367</v>
      </c>
      <c r="M92" s="35"/>
      <c r="N92" s="35"/>
      <c r="O92" s="38"/>
      <c r="P92" s="35"/>
      <c r="Q92" s="35" t="s">
        <v>352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9008.5600000000031</v>
      </c>
      <c r="V92" s="311">
        <f>IFERROR(_xlfn.XLOOKUP(PA_8[[#This Row],[Affected Equipment ]],'Basic Data'!$P:$P,'Basic Data'!$T:$T),"")</f>
        <v>6.9431205105281044E-2</v>
      </c>
      <c r="W92" s="312" t="s">
        <v>328</v>
      </c>
      <c r="X92" s="150" t="s">
        <v>1281</v>
      </c>
      <c r="Y92" s="150" t="s">
        <v>1284</v>
      </c>
      <c r="Z92" s="260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1285</v>
      </c>
      <c r="AI92" s="149" t="s">
        <v>366</v>
      </c>
      <c r="AJ92" s="37">
        <f>IFERROR(PA_8[[#This Row],[Breakdown Time]]*PA_8[[#This Row],[Plant Equivalent Weightage]],"")</f>
        <v>2.31437350350936E-2</v>
      </c>
      <c r="AK92" s="262">
        <v>0.25</v>
      </c>
      <c r="AL92" s="151">
        <f>U92*PA_8[[#This Row],[Lost PoA(Wh/m2)]]*85.3%</f>
        <v>1921.0754200000006</v>
      </c>
      <c r="AM92" s="151"/>
    </row>
    <row r="93" spans="1:39">
      <c r="A93" s="147">
        <v>84</v>
      </c>
      <c r="B93" s="148">
        <v>45843</v>
      </c>
      <c r="C93" s="180">
        <f>YEAR(PA_8[[#This Row],[Date]])+IF(MONTH(PA_8[[#This Row],[Date]])&gt;=4,1,0)</f>
        <v>2026</v>
      </c>
      <c r="D93" s="34">
        <f>YEAR(PA_8[[#This Row],[Date]])</f>
        <v>2025</v>
      </c>
      <c r="E93" s="149" t="s">
        <v>324</v>
      </c>
      <c r="F93" s="149" t="s">
        <v>324</v>
      </c>
      <c r="G93" s="169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49" t="s">
        <v>422</v>
      </c>
      <c r="M93" s="35"/>
      <c r="N93" s="35"/>
      <c r="O93" s="38"/>
      <c r="P93" s="35"/>
      <c r="Q93" s="35" t="s">
        <v>352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10358.51</v>
      </c>
      <c r="V93" s="311">
        <f>IFERROR(_xlfn.XLOOKUP(PA_8[[#This Row],[Affected Equipment ]],'Basic Data'!$P:$P,'Basic Data'!$T:$T),"")</f>
        <v>7.9835604402380009E-2</v>
      </c>
      <c r="W93" s="312" t="s">
        <v>328</v>
      </c>
      <c r="X93" s="150" t="s">
        <v>1282</v>
      </c>
      <c r="Y93" s="150" t="s">
        <v>1282</v>
      </c>
      <c r="Z93" s="260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1285</v>
      </c>
      <c r="AI93" s="149" t="s">
        <v>366</v>
      </c>
      <c r="AJ93" s="37">
        <f>IFERROR(PA_8[[#This Row],[Breakdown Time]]*PA_8[[#This Row],[Plant Equivalent Weightage]],"")</f>
        <v>5.1893142861547031E-2</v>
      </c>
      <c r="AK93" s="262">
        <v>0.04</v>
      </c>
      <c r="AL93" s="151">
        <f>U93*PA_8[[#This Row],[Lost PoA(Wh/m2)]]*85.3%</f>
        <v>353.4323612</v>
      </c>
      <c r="AM93" s="151"/>
    </row>
    <row r="94" spans="1:39">
      <c r="A94" s="147">
        <v>85</v>
      </c>
      <c r="B94" s="148">
        <v>45843</v>
      </c>
      <c r="C94" s="180">
        <f>YEAR(PA_8[[#This Row],[Date]])+IF(MONTH(PA_8[[#This Row],[Date]])&gt;=4,1,0)</f>
        <v>2026</v>
      </c>
      <c r="D94" s="34">
        <f>YEAR(PA_8[[#This Row],[Date]])</f>
        <v>2025</v>
      </c>
      <c r="E94" s="149" t="s">
        <v>324</v>
      </c>
      <c r="F94" s="149" t="s">
        <v>324</v>
      </c>
      <c r="G94" s="169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49" t="s">
        <v>374</v>
      </c>
      <c r="M94" s="35" t="s">
        <v>348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3898.9049999999988</v>
      </c>
      <c r="V94" s="311">
        <f>IFERROR(_xlfn.XLOOKUP(PA_8[[#This Row],[Affected Equipment ]],'Basic Data'!$P:$P,'Basic Data'!$T:$T),"")</f>
        <v>3.0049827357647125E-2</v>
      </c>
      <c r="W94" s="327" t="s">
        <v>328</v>
      </c>
      <c r="X94" s="150" t="s">
        <v>1289</v>
      </c>
      <c r="Y94" s="150" t="s">
        <v>1289</v>
      </c>
      <c r="Z94" s="260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1290</v>
      </c>
      <c r="AI94" s="149" t="s">
        <v>366</v>
      </c>
      <c r="AJ94" s="37">
        <f>IFERROR(PA_8[[#This Row],[Breakdown Time]]*PA_8[[#This Row],[Plant Equivalent Weightage]],"")</f>
        <v>4.5074741036470528E-3</v>
      </c>
      <c r="AK94" s="262">
        <v>0.09</v>
      </c>
      <c r="AL94" s="151">
        <f>U94*PA_8[[#This Row],[Lost PoA(Wh/m2)]]*85.3%</f>
        <v>299.31893684999989</v>
      </c>
      <c r="AM94" s="151"/>
    </row>
    <row r="95" spans="1:39">
      <c r="A95" s="147">
        <v>86</v>
      </c>
      <c r="B95" s="148">
        <v>45843</v>
      </c>
      <c r="C95" s="180">
        <f>YEAR(PA_8[[#This Row],[Date]])+IF(MONTH(PA_8[[#This Row],[Date]])&gt;=4,1,0)</f>
        <v>2026</v>
      </c>
      <c r="D95" s="34">
        <f>YEAR(PA_8[[#This Row],[Date]])</f>
        <v>2025</v>
      </c>
      <c r="E95" s="149" t="s">
        <v>324</v>
      </c>
      <c r="F95" s="149" t="s">
        <v>324</v>
      </c>
      <c r="G95" s="169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49" t="s">
        <v>374</v>
      </c>
      <c r="M95" s="35" t="s">
        <v>360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4409.5950000000012</v>
      </c>
      <c r="V95" s="311">
        <f>IFERROR(_xlfn.XLOOKUP(PA_8[[#This Row],[Affected Equipment ]],'Basic Data'!$P:$P,'Basic Data'!$T:$T),"")</f>
        <v>3.3985841785615208E-2</v>
      </c>
      <c r="W95" s="327" t="s">
        <v>328</v>
      </c>
      <c r="X95" s="150" t="s">
        <v>1289</v>
      </c>
      <c r="Y95" s="150" t="s">
        <v>1289</v>
      </c>
      <c r="Z95" s="260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1290</v>
      </c>
      <c r="AI95" s="149" t="s">
        <v>366</v>
      </c>
      <c r="AJ95" s="37">
        <f>IFERROR(PA_8[[#This Row],[Breakdown Time]]*PA_8[[#This Row],[Plant Equivalent Weightage]],"")</f>
        <v>5.0978762678422634E-3</v>
      </c>
      <c r="AK95" s="262">
        <v>0.09</v>
      </c>
      <c r="AL95" s="151">
        <f>U95*PA_8[[#This Row],[Lost PoA(Wh/m2)]]*85.3%</f>
        <v>338.52460815000006</v>
      </c>
      <c r="AM95" s="151"/>
    </row>
    <row r="96" spans="1:39" ht="15.75" customHeight="1">
      <c r="A96" s="147">
        <v>87</v>
      </c>
      <c r="B96" s="148">
        <v>45843</v>
      </c>
      <c r="C96" s="180">
        <f>YEAR(PA_8[[#This Row],[Date]])+IF(MONTH(PA_8[[#This Row],[Date]])&gt;=4,1,0)</f>
        <v>2026</v>
      </c>
      <c r="D96" s="34">
        <f>YEAR(PA_8[[#This Row],[Date]])</f>
        <v>2025</v>
      </c>
      <c r="E96" s="149" t="s">
        <v>324</v>
      </c>
      <c r="F96" s="149" t="s">
        <v>324</v>
      </c>
      <c r="G96" s="169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49" t="s">
        <v>407</v>
      </c>
      <c r="M96" s="35" t="s">
        <v>360</v>
      </c>
      <c r="N96" s="35" t="s">
        <v>361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11">
        <f>IFERROR(_xlfn.XLOOKUP(PA_8[[#This Row],[Affected Equipment ]],'Basic Data'!$P:$P,'Basic Data'!$T:$T),"")</f>
        <v>1.5735117304312977E-2</v>
      </c>
      <c r="W96" s="324" t="s">
        <v>1279</v>
      </c>
      <c r="X96" s="150" t="s">
        <v>1283</v>
      </c>
      <c r="Y96" s="150" t="s">
        <v>1283</v>
      </c>
      <c r="Z96" s="260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1286</v>
      </c>
      <c r="AI96" s="149" t="s">
        <v>358</v>
      </c>
      <c r="AJ96" s="37">
        <f>IFERROR(PA_8[[#This Row],[Breakdown Time]]*PA_8[[#This Row],[Plant Equivalent Weightage]],"")</f>
        <v>0.19144392720247455</v>
      </c>
      <c r="AK96" s="262">
        <v>3.24</v>
      </c>
      <c r="AL96" s="151">
        <f>U96*PA_8[[#This Row],[Lost PoA(Wh/m2)]]*85.3%</f>
        <v>5642.4107520000007</v>
      </c>
      <c r="AM96" s="151"/>
    </row>
    <row r="97" spans="1:39">
      <c r="A97" s="147">
        <v>88</v>
      </c>
      <c r="B97" s="148">
        <v>45844</v>
      </c>
      <c r="C97" s="180">
        <f>YEAR(PA_8[[#This Row],[Date]])+IF(MONTH(PA_8[[#This Row],[Date]])&gt;=4,1,0)</f>
        <v>2026</v>
      </c>
      <c r="D97" s="34">
        <f>YEAR(PA_8[[#This Row],[Date]])</f>
        <v>2025</v>
      </c>
      <c r="E97" s="149" t="s">
        <v>324</v>
      </c>
      <c r="F97" s="149" t="s">
        <v>324</v>
      </c>
      <c r="G97" s="169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49" t="s">
        <v>407</v>
      </c>
      <c r="M97" s="35" t="s">
        <v>360</v>
      </c>
      <c r="N97" s="35" t="s">
        <v>349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1866.1500000000003</v>
      </c>
      <c r="V97" s="311">
        <f>IFERROR(_xlfn.XLOOKUP(PA_8[[#This Row],[Affected Equipment ]],'Basic Data'!$P:$P,'Basic Data'!$T:$T),"")</f>
        <v>1.4382880660973584E-2</v>
      </c>
      <c r="W97" s="324" t="s">
        <v>1279</v>
      </c>
      <c r="X97" s="150" t="s">
        <v>1283</v>
      </c>
      <c r="Y97" s="150" t="s">
        <v>1283</v>
      </c>
      <c r="Z97" s="260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1286</v>
      </c>
      <c r="AI97" s="149" t="s">
        <v>358</v>
      </c>
      <c r="AJ97" s="37">
        <f>IFERROR(PA_8[[#This Row],[Breakdown Time]]*PA_8[[#This Row],[Plant Equivalent Weightage]],"")</f>
        <v>0.17499171470851194</v>
      </c>
      <c r="AK97" s="262">
        <v>3.04</v>
      </c>
      <c r="AL97" s="151">
        <f>U97*PA_8[[#This Row],[Lost PoA(Wh/m2)]]*85.3%</f>
        <v>4839.150888000001</v>
      </c>
      <c r="AM97" s="151"/>
    </row>
    <row r="98" spans="1:39">
      <c r="A98" s="147">
        <v>89</v>
      </c>
      <c r="B98" s="148">
        <v>45844</v>
      </c>
      <c r="C98" s="180">
        <f>YEAR(PA_8[[#This Row],[Date]])+IF(MONTH(PA_8[[#This Row],[Date]])&gt;=4,1,0)</f>
        <v>2026</v>
      </c>
      <c r="D98" s="34">
        <f>YEAR(PA_8[[#This Row],[Date]])</f>
        <v>2025</v>
      </c>
      <c r="E98" s="149" t="s">
        <v>324</v>
      </c>
      <c r="F98" s="149" t="s">
        <v>324</v>
      </c>
      <c r="G98" s="169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49" t="s">
        <v>407</v>
      </c>
      <c r="M98" s="35" t="s">
        <v>360</v>
      </c>
      <c r="N98" s="35" t="s">
        <v>361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11">
        <f>IFERROR(_xlfn.XLOOKUP(PA_8[[#This Row],[Affected Equipment ]],'Basic Data'!$P:$P,'Basic Data'!$T:$T),"")</f>
        <v>1.5735117304312977E-2</v>
      </c>
      <c r="W98" s="324" t="s">
        <v>1279</v>
      </c>
      <c r="X98" s="150" t="s">
        <v>1283</v>
      </c>
      <c r="Y98" s="150" t="s">
        <v>1283</v>
      </c>
      <c r="Z98" s="260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1286</v>
      </c>
      <c r="AI98" s="149" t="s">
        <v>358</v>
      </c>
      <c r="AJ98" s="37">
        <f>IFERROR(PA_8[[#This Row],[Breakdown Time]]*PA_8[[#This Row],[Plant Equivalent Weightage]],"")</f>
        <v>0.19144392720247455</v>
      </c>
      <c r="AK98" s="262">
        <v>3.04</v>
      </c>
      <c r="AL98" s="151">
        <f>U98*PA_8[[#This Row],[Lost PoA(Wh/m2)]]*85.3%</f>
        <v>5294.113792000001</v>
      </c>
      <c r="AM98" s="151"/>
    </row>
    <row r="99" spans="1:39">
      <c r="A99" s="147">
        <v>90</v>
      </c>
      <c r="B99" s="148">
        <v>45844</v>
      </c>
      <c r="C99" s="180">
        <f>YEAR(PA_8[[#This Row],[Date]])+IF(MONTH(PA_8[[#This Row],[Date]])&gt;=4,1,0)</f>
        <v>2026</v>
      </c>
      <c r="D99" s="34">
        <f>YEAR(PA_8[[#This Row],[Date]])</f>
        <v>2025</v>
      </c>
      <c r="E99" s="149" t="s">
        <v>324</v>
      </c>
      <c r="F99" s="149" t="s">
        <v>324</v>
      </c>
      <c r="G99" s="169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49" t="s">
        <v>407</v>
      </c>
      <c r="M99" s="35" t="s">
        <v>348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4242.7</v>
      </c>
      <c r="V99" s="311">
        <f>IFERROR(_xlfn.XLOOKUP(PA_8[[#This Row],[Affected Equipment ]],'Basic Data'!$P:$P,'Basic Data'!$T:$T),"")</f>
        <v>3.2699540648025403E-2</v>
      </c>
      <c r="W99" s="327" t="s">
        <v>328</v>
      </c>
      <c r="X99" s="150" t="s">
        <v>1283</v>
      </c>
      <c r="Y99" s="150" t="s">
        <v>1283</v>
      </c>
      <c r="Z99" s="260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1286</v>
      </c>
      <c r="AI99" s="149" t="s">
        <v>358</v>
      </c>
      <c r="AJ99" s="37">
        <f>IFERROR(PA_8[[#This Row],[Breakdown Time]]*PA_8[[#This Row],[Plant Equivalent Weightage]],"")</f>
        <v>0.39784441121764241</v>
      </c>
      <c r="AK99" s="262">
        <v>3.04</v>
      </c>
      <c r="AL99" s="151">
        <f>U99*PA_8[[#This Row],[Lost PoA(Wh/m2)]]*85.3%</f>
        <v>11001.830223999999</v>
      </c>
      <c r="AM99" s="151"/>
    </row>
    <row r="100" spans="1:39">
      <c r="A100" s="147">
        <v>91</v>
      </c>
      <c r="B100" s="148">
        <v>45844</v>
      </c>
      <c r="C100" s="180">
        <f>YEAR(PA_8[[#This Row],[Date]])+IF(MONTH(PA_8[[#This Row],[Date]])&gt;=4,1,0)</f>
        <v>2026</v>
      </c>
      <c r="D100" s="34">
        <f>YEAR(PA_8[[#This Row],[Date]])</f>
        <v>2025</v>
      </c>
      <c r="E100" s="149" t="s">
        <v>324</v>
      </c>
      <c r="F100" s="149" t="s">
        <v>324</v>
      </c>
      <c r="G100" s="169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49" t="s">
        <v>407</v>
      </c>
      <c r="M100" s="35" t="s">
        <v>348</v>
      </c>
      <c r="N100" s="35" t="s">
        <v>349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2169.1999999999998</v>
      </c>
      <c r="V100" s="311">
        <f>IFERROR(_xlfn.XLOOKUP(PA_8[[#This Row],[Affected Equipment ]],'Basic Data'!$P:$P,'Basic Data'!$T:$T),"")</f>
        <v>1.6718562135832539E-2</v>
      </c>
      <c r="W100" s="327" t="s">
        <v>328</v>
      </c>
      <c r="X100" s="150" t="s">
        <v>1292</v>
      </c>
      <c r="Y100" s="150" t="s">
        <v>1291</v>
      </c>
      <c r="Z100" s="260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1293</v>
      </c>
      <c r="AI100" s="149" t="s">
        <v>366</v>
      </c>
      <c r="AJ100" s="37">
        <f>IFERROR(PA_8[[#This Row],[Breakdown Time]]*PA_8[[#This Row],[Plant Equivalent Weightage]],"")</f>
        <v>3.0650697249026301E-2</v>
      </c>
      <c r="AK100" s="262">
        <v>0.34</v>
      </c>
      <c r="AL100" s="151">
        <f>U100*PA_8[[#This Row],[Lost PoA(Wh/m2)]]*85.3%</f>
        <v>629.11138400000004</v>
      </c>
      <c r="AM100" s="151"/>
    </row>
    <row r="101" spans="1:39">
      <c r="A101" s="147">
        <v>92</v>
      </c>
      <c r="B101" s="148">
        <v>45844</v>
      </c>
      <c r="C101" s="180">
        <f>YEAR(PA_8[[#This Row],[Date]])+IF(MONTH(PA_8[[#This Row],[Date]])&gt;=4,1,0)</f>
        <v>2026</v>
      </c>
      <c r="D101" s="34">
        <f>YEAR(PA_8[[#This Row],[Date]])</f>
        <v>2025</v>
      </c>
      <c r="E101" s="149" t="s">
        <v>324</v>
      </c>
      <c r="F101" s="149" t="s">
        <v>324</v>
      </c>
      <c r="G101" s="169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49" t="s">
        <v>407</v>
      </c>
      <c r="M101" s="35" t="s">
        <v>348</v>
      </c>
      <c r="N101" s="35" t="s">
        <v>361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2073.5</v>
      </c>
      <c r="V101" s="311">
        <f>IFERROR(_xlfn.XLOOKUP(PA_8[[#This Row],[Affected Equipment ]],'Basic Data'!$P:$P,'Basic Data'!$T:$T),"")</f>
        <v>1.5980978512192868E-2</v>
      </c>
      <c r="W101" s="327" t="s">
        <v>328</v>
      </c>
      <c r="X101" s="150" t="s">
        <v>1292</v>
      </c>
      <c r="Y101" s="150" t="s">
        <v>1291</v>
      </c>
      <c r="Z101" s="260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1293</v>
      </c>
      <c r="AI101" s="149" t="s">
        <v>366</v>
      </c>
      <c r="AJ101" s="37">
        <f>IFERROR(PA_8[[#This Row],[Breakdown Time]]*PA_8[[#This Row],[Plant Equivalent Weightage]],"")</f>
        <v>2.9298460605686905E-2</v>
      </c>
      <c r="AK101" s="262">
        <v>0.34</v>
      </c>
      <c r="AL101" s="151">
        <f>U101*PA_8[[#This Row],[Lost PoA(Wh/m2)]]*85.3%</f>
        <v>601.35646999999994</v>
      </c>
      <c r="AM101" s="151"/>
    </row>
    <row r="102" spans="1:39">
      <c r="A102" s="147">
        <v>93</v>
      </c>
      <c r="B102" s="148">
        <v>45845</v>
      </c>
      <c r="C102" s="180">
        <f>YEAR(PA_8[[#This Row],[Date]])+IF(MONTH(PA_8[[#This Row],[Date]])&gt;=4,1,0)</f>
        <v>2026</v>
      </c>
      <c r="D102" s="34">
        <f>YEAR(PA_8[[#This Row],[Date]])</f>
        <v>2025</v>
      </c>
      <c r="E102" s="149" t="s">
        <v>324</v>
      </c>
      <c r="F102" s="149" t="s">
        <v>324</v>
      </c>
      <c r="G102" s="169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49" t="s">
        <v>385</v>
      </c>
      <c r="M102" s="35" t="s">
        <v>360</v>
      </c>
      <c r="N102" s="35" t="s">
        <v>349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11">
        <f>IFERROR(_xlfn.XLOOKUP(PA_8[[#This Row],[Affected Equipment ]],'Basic Data'!$P:$P,'Basic Data'!$T:$T),"")</f>
        <v>1.4505811264913526E-2</v>
      </c>
      <c r="W102" s="327" t="s">
        <v>1279</v>
      </c>
      <c r="X102" s="150" t="s">
        <v>1294</v>
      </c>
      <c r="Y102" s="150" t="s">
        <v>1294</v>
      </c>
      <c r="Z102" s="260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1295</v>
      </c>
      <c r="AI102" s="149" t="s">
        <v>366</v>
      </c>
      <c r="AJ102" s="37">
        <f>IFERROR(PA_8[[#This Row],[Breakdown Time]]*PA_8[[#This Row],[Plant Equivalent Weightage]],"")</f>
        <v>5.3187974638016456E-3</v>
      </c>
      <c r="AK102" s="262">
        <v>0.02</v>
      </c>
      <c r="AL102" s="151">
        <f>U102*PA_8[[#This Row],[Lost PoA(Wh/m2)]]*85.3%</f>
        <v>32.108625999999994</v>
      </c>
      <c r="AM102" s="151"/>
    </row>
    <row r="103" spans="1:39">
      <c r="A103" s="147">
        <v>94</v>
      </c>
      <c r="B103" s="148">
        <v>45845</v>
      </c>
      <c r="C103" s="180">
        <f>YEAR(PA_8[[#This Row],[Date]])+IF(MONTH(PA_8[[#This Row],[Date]])&gt;=4,1,0)</f>
        <v>2026</v>
      </c>
      <c r="D103" s="34">
        <f>YEAR(PA_8[[#This Row],[Date]])</f>
        <v>2025</v>
      </c>
      <c r="E103" s="149" t="s">
        <v>324</v>
      </c>
      <c r="F103" s="149" t="s">
        <v>324</v>
      </c>
      <c r="G103" s="169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49" t="s">
        <v>385</v>
      </c>
      <c r="M103" s="35" t="s">
        <v>360</v>
      </c>
      <c r="N103" s="35" t="s">
        <v>361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11">
        <f>IFERROR(_xlfn.XLOOKUP(PA_8[[#This Row],[Affected Equipment ]],'Basic Data'!$P:$P,'Basic Data'!$T:$T),"")</f>
        <v>1.4259950057033637E-2</v>
      </c>
      <c r="W103" s="327" t="s">
        <v>1279</v>
      </c>
      <c r="X103" s="150" t="s">
        <v>1294</v>
      </c>
      <c r="Y103" s="150" t="s">
        <v>1294</v>
      </c>
      <c r="Z103" s="260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1295</v>
      </c>
      <c r="AI103" s="149" t="s">
        <v>366</v>
      </c>
      <c r="AJ103" s="37">
        <f>IFERROR(PA_8[[#This Row],[Breakdown Time]]*PA_8[[#This Row],[Plant Equivalent Weightage]],"")</f>
        <v>1.2596289217046372E-2</v>
      </c>
      <c r="AK103" s="262">
        <v>0.14000000000000001</v>
      </c>
      <c r="AL103" s="151">
        <f>U103*PA_8[[#This Row],[Lost PoA(Wh/m2)]]*85.3%</f>
        <v>220.950884</v>
      </c>
      <c r="AM103" s="151"/>
    </row>
    <row r="104" spans="1:39">
      <c r="A104" s="147">
        <v>95</v>
      </c>
      <c r="B104" s="148">
        <v>45846</v>
      </c>
      <c r="C104" s="180">
        <f>YEAR(PA_8[[#This Row],[Date]])+IF(MONTH(PA_8[[#This Row],[Date]])&gt;=4,1,0)</f>
        <v>2026</v>
      </c>
      <c r="D104" s="34">
        <f>YEAR(PA_8[[#This Row],[Date]])</f>
        <v>2025</v>
      </c>
      <c r="E104" s="149" t="s">
        <v>324</v>
      </c>
      <c r="F104" s="149" t="s">
        <v>324</v>
      </c>
      <c r="G104" s="169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49" t="s">
        <v>407</v>
      </c>
      <c r="M104" s="35" t="s">
        <v>360</v>
      </c>
      <c r="N104" s="35" t="s">
        <v>349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1866.1500000000003</v>
      </c>
      <c r="V104" s="311">
        <f>IFERROR(_xlfn.XLOOKUP(PA_8[[#This Row],[Affected Equipment ]],'Basic Data'!$P:$P,'Basic Data'!$T:$T),"")</f>
        <v>1.4382880660973584E-2</v>
      </c>
      <c r="W104" s="327" t="s">
        <v>1279</v>
      </c>
      <c r="X104" s="150" t="s">
        <v>1294</v>
      </c>
      <c r="Y104" s="150" t="s">
        <v>1294</v>
      </c>
      <c r="Z104" s="260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1297</v>
      </c>
      <c r="AI104" s="149" t="s">
        <v>366</v>
      </c>
      <c r="AJ104" s="37">
        <f>IFERROR(PA_8[[#This Row],[Breakdown Time]]*PA_8[[#This Row],[Plant Equivalent Weightage]],"")</f>
        <v>3.1882052131824781E-2</v>
      </c>
      <c r="AK104" s="262">
        <v>0.53</v>
      </c>
      <c r="AL104" s="151">
        <f>U104*PA_8[[#This Row],[Lost PoA(Wh/m2)]]*85.3%</f>
        <v>843.66775350000012</v>
      </c>
      <c r="AM104" s="151"/>
    </row>
    <row r="105" spans="1:39">
      <c r="A105" s="147">
        <v>96</v>
      </c>
      <c r="B105" s="148">
        <v>45846</v>
      </c>
      <c r="C105" s="180">
        <f>YEAR(PA_8[[#This Row],[Date]])+IF(MONTH(PA_8[[#This Row],[Date]])&gt;=4,1,0)</f>
        <v>2026</v>
      </c>
      <c r="D105" s="34">
        <f>YEAR(PA_8[[#This Row],[Date]])</f>
        <v>2025</v>
      </c>
      <c r="E105" s="149" t="s">
        <v>324</v>
      </c>
      <c r="F105" s="149" t="s">
        <v>324</v>
      </c>
      <c r="G105" s="169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49" t="s">
        <v>407</v>
      </c>
      <c r="M105" s="35" t="s">
        <v>360</v>
      </c>
      <c r="N105" s="35" t="s">
        <v>361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11">
        <f>IFERROR(_xlfn.XLOOKUP(PA_8[[#This Row],[Affected Equipment ]],'Basic Data'!$P:$P,'Basic Data'!$T:$T),"")</f>
        <v>1.5735117304312977E-2</v>
      </c>
      <c r="W105" s="327" t="s">
        <v>1279</v>
      </c>
      <c r="X105" s="150" t="s">
        <v>1299</v>
      </c>
      <c r="Y105" s="150" t="s">
        <v>1299</v>
      </c>
      <c r="Z105" s="260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1300</v>
      </c>
      <c r="AI105" s="149" t="s">
        <v>366</v>
      </c>
      <c r="AJ105" s="37">
        <f>IFERROR(PA_8[[#This Row],[Breakdown Time]]*PA_8[[#This Row],[Plant Equivalent Weightage]],"")</f>
        <v>9.9655742927315591E-3</v>
      </c>
      <c r="AK105" s="262">
        <v>0.14000000000000001</v>
      </c>
      <c r="AL105" s="151">
        <f>U105*PA_8[[#This Row],[Lost PoA(Wh/m2)]]*85.3%</f>
        <v>243.80787200000006</v>
      </c>
      <c r="AM105" s="151"/>
    </row>
    <row r="106" spans="1:39" ht="14.25" customHeight="1">
      <c r="A106" s="147">
        <v>97</v>
      </c>
      <c r="B106" s="148">
        <v>45846</v>
      </c>
      <c r="C106" s="180">
        <f>YEAR(PA_8[[#This Row],[Date]])+IF(MONTH(PA_8[[#This Row],[Date]])&gt;=4,1,0)</f>
        <v>2026</v>
      </c>
      <c r="D106" s="34">
        <f>YEAR(PA_8[[#This Row],[Date]])</f>
        <v>2025</v>
      </c>
      <c r="E106" s="149" t="s">
        <v>324</v>
      </c>
      <c r="F106" s="149" t="s">
        <v>324</v>
      </c>
      <c r="G106" s="169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49" t="s">
        <v>385</v>
      </c>
      <c r="M106" s="35" t="s">
        <v>360</v>
      </c>
      <c r="N106" s="35" t="s">
        <v>361</v>
      </c>
      <c r="O106" s="38" t="s">
        <v>387</v>
      </c>
      <c r="P106" s="35" t="s">
        <v>363</v>
      </c>
      <c r="Q106" s="35" t="s">
        <v>389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11">
        <f>IFERROR(_xlfn.XLOOKUP(PA_8[[#This Row],[Affected Equipment ]],'Basic Data'!$P:$P,'Basic Data'!$T:$T),"")</f>
        <v>1.2181305299503655E-4</v>
      </c>
      <c r="W106" s="327" t="s">
        <v>1103</v>
      </c>
      <c r="X106" s="150" t="s">
        <v>1301</v>
      </c>
      <c r="Y106" s="150" t="s">
        <v>1301</v>
      </c>
      <c r="Z106" s="260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1302</v>
      </c>
      <c r="AI106" s="149" t="s">
        <v>366</v>
      </c>
      <c r="AJ106" s="37">
        <f>IFERROR(PA_8[[#This Row],[Breakdown Time]]*PA_8[[#This Row],[Plant Equivalent Weightage]],"")</f>
        <v>1.3196414074462292E-3</v>
      </c>
      <c r="AK106" s="262">
        <v>2</v>
      </c>
      <c r="AL106" s="151">
        <f>U106*PA_8[[#This Row],[Lost PoA(Wh/m2)]]*85.3%</f>
        <v>26.963329999999999</v>
      </c>
      <c r="AM106" s="151"/>
    </row>
    <row r="107" spans="1:39">
      <c r="A107" s="147">
        <v>98</v>
      </c>
      <c r="B107" s="148">
        <v>45849</v>
      </c>
      <c r="C107" s="180">
        <f>YEAR(PA_8[[#This Row],[Date]])+IF(MONTH(PA_8[[#This Row],[Date]])&gt;=4,1,0)</f>
        <v>2026</v>
      </c>
      <c r="D107" s="34">
        <f>YEAR(PA_8[[#This Row],[Date]])</f>
        <v>2025</v>
      </c>
      <c r="E107" s="149" t="s">
        <v>324</v>
      </c>
      <c r="F107" s="149" t="s">
        <v>324</v>
      </c>
      <c r="G107" s="169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49" t="s">
        <v>347</v>
      </c>
      <c r="M107" s="35" t="s">
        <v>360</v>
      </c>
      <c r="N107" s="35" t="s">
        <v>349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11">
        <f>IFERROR(_xlfn.XLOOKUP(PA_8[[#This Row],[Affected Equipment ]],'Basic Data'!$P:$P,'Basic Data'!$T:$T),"")</f>
        <v>1.2027083269106269E-2</v>
      </c>
      <c r="W107" s="330" t="s">
        <v>1279</v>
      </c>
      <c r="X107" s="150" t="s">
        <v>1294</v>
      </c>
      <c r="Y107" s="150" t="s">
        <v>1294</v>
      </c>
      <c r="Z107" s="260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1307</v>
      </c>
      <c r="AI107" s="149" t="s">
        <v>366</v>
      </c>
      <c r="AJ107" s="37">
        <f>IFERROR(PA_8[[#This Row],[Breakdown Time]]*PA_8[[#This Row],[Plant Equivalent Weightage]],"")</f>
        <v>2.204965266002808E-3</v>
      </c>
      <c r="AK107" s="262">
        <v>0.23</v>
      </c>
      <c r="AL107" s="151">
        <f>U107*PA_8[[#This Row],[Lost PoA(Wh/m2)]]*85.3%</f>
        <v>306.15253310000003</v>
      </c>
      <c r="AM107" s="151"/>
    </row>
    <row r="108" spans="1:39">
      <c r="A108" s="147">
        <v>99</v>
      </c>
      <c r="B108" s="148">
        <v>45849</v>
      </c>
      <c r="C108" s="180">
        <f>YEAR(PA_8[[#This Row],[Date]])+IF(MONTH(PA_8[[#This Row],[Date]])&gt;=4,1,0)</f>
        <v>2026</v>
      </c>
      <c r="D108" s="34">
        <f>YEAR(PA_8[[#This Row],[Date]])</f>
        <v>2025</v>
      </c>
      <c r="E108" s="149" t="s">
        <v>324</v>
      </c>
      <c r="F108" s="149" t="s">
        <v>324</v>
      </c>
      <c r="G108" s="169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49" t="s">
        <v>347</v>
      </c>
      <c r="M108" s="35" t="s">
        <v>360</v>
      </c>
      <c r="N108" s="35" t="s">
        <v>361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1614.1399999999999</v>
      </c>
      <c r="V108" s="311">
        <f>IFERROR(_xlfn.XLOOKUP(PA_8[[#This Row],[Affected Equipment ]],'Basic Data'!$P:$P,'Basic Data'!$T:$T),"")</f>
        <v>1.2440577118722446E-2</v>
      </c>
      <c r="W108" s="330" t="s">
        <v>1279</v>
      </c>
      <c r="X108" s="150" t="s">
        <v>1294</v>
      </c>
      <c r="Y108" s="150" t="s">
        <v>1294</v>
      </c>
      <c r="Z108" s="260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1308</v>
      </c>
      <c r="AI108" s="149" t="s">
        <v>366</v>
      </c>
      <c r="AJ108" s="37">
        <f>IFERROR(PA_8[[#This Row],[Breakdown Time]]*PA_8[[#This Row],[Plant Equivalent Weightage]],"")</f>
        <v>3.5248301836380141E-3</v>
      </c>
      <c r="AK108" s="262">
        <v>0.32</v>
      </c>
      <c r="AL108" s="151">
        <f>U108*PA_8[[#This Row],[Lost PoA(Wh/m2)]]*85.3%</f>
        <v>440.59565439999994</v>
      </c>
      <c r="AM108" s="151"/>
    </row>
    <row r="109" spans="1:39">
      <c r="A109" s="147">
        <v>100</v>
      </c>
      <c r="B109" s="148">
        <v>45849</v>
      </c>
      <c r="C109" s="180">
        <f>YEAR(PA_8[[#This Row],[Date]])+IF(MONTH(PA_8[[#This Row],[Date]])&gt;=4,1,0)</f>
        <v>2026</v>
      </c>
      <c r="D109" s="34">
        <f>YEAR(PA_8[[#This Row],[Date]])</f>
        <v>2025</v>
      </c>
      <c r="E109" s="149" t="s">
        <v>324</v>
      </c>
      <c r="F109" s="149" t="s">
        <v>324</v>
      </c>
      <c r="G109" s="169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49" t="s">
        <v>347</v>
      </c>
      <c r="M109" s="35" t="s">
        <v>360</v>
      </c>
      <c r="N109" s="35" t="s">
        <v>369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1534.9700000000003</v>
      </c>
      <c r="V109" s="311">
        <f>IFERROR(_xlfn.XLOOKUP(PA_8[[#This Row],[Affected Equipment ]],'Basic Data'!$P:$P,'Basic Data'!$T:$T),"")</f>
        <v>1.1830394302802359E-2</v>
      </c>
      <c r="W109" s="330" t="s">
        <v>1279</v>
      </c>
      <c r="X109" s="150" t="s">
        <v>1294</v>
      </c>
      <c r="Y109" s="150" t="s">
        <v>1294</v>
      </c>
      <c r="Z109" s="260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1307</v>
      </c>
      <c r="AI109" s="149" t="s">
        <v>366</v>
      </c>
      <c r="AJ109" s="37">
        <f>IFERROR(PA_8[[#This Row],[Breakdown Time]]*PA_8[[#This Row],[Plant Equivalent Weightage]],"")</f>
        <v>2.1689056221804249E-3</v>
      </c>
      <c r="AK109" s="262">
        <v>0.23</v>
      </c>
      <c r="AL109" s="151">
        <f>U109*PA_8[[#This Row],[Lost PoA(Wh/m2)]]*85.3%</f>
        <v>301.14576430000005</v>
      </c>
      <c r="AM109" s="151"/>
    </row>
    <row r="110" spans="1:39">
      <c r="A110" s="147">
        <v>101</v>
      </c>
      <c r="B110" s="148">
        <v>45849</v>
      </c>
      <c r="C110" s="180">
        <f>YEAR(PA_8[[#This Row],[Date]])+IF(MONTH(PA_8[[#This Row],[Date]])&gt;=4,1,0)</f>
        <v>2026</v>
      </c>
      <c r="D110" s="34">
        <f>YEAR(PA_8[[#This Row],[Date]])</f>
        <v>2025</v>
      </c>
      <c r="E110" s="149" t="s">
        <v>324</v>
      </c>
      <c r="F110" s="149" t="s">
        <v>324</v>
      </c>
      <c r="G110" s="169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49" t="s">
        <v>347</v>
      </c>
      <c r="M110" s="35" t="s">
        <v>360</v>
      </c>
      <c r="N110" s="35" t="s">
        <v>376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1706.94</v>
      </c>
      <c r="V110" s="311">
        <f>IFERROR(_xlfn.XLOOKUP(PA_8[[#This Row],[Affected Equipment ]],'Basic Data'!$P:$P,'Basic Data'!$T:$T),"")</f>
        <v>1.3155809723463948E-2</v>
      </c>
      <c r="W110" s="330" t="s">
        <v>1279</v>
      </c>
      <c r="X110" s="150" t="s">
        <v>1294</v>
      </c>
      <c r="Y110" s="150" t="s">
        <v>1294</v>
      </c>
      <c r="Z110" s="260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1307</v>
      </c>
      <c r="AI110" s="149" t="s">
        <v>366</v>
      </c>
      <c r="AJ110" s="37">
        <f>IFERROR(PA_8[[#This Row],[Breakdown Time]]*PA_8[[#This Row],[Plant Equivalent Weightage]],"")</f>
        <v>2.4118984493017152E-3</v>
      </c>
      <c r="AK110" s="262">
        <v>0.23</v>
      </c>
      <c r="AL110" s="151">
        <f>U110*PA_8[[#This Row],[Lost PoA(Wh/m2)]]*85.3%</f>
        <v>334.88455859999999</v>
      </c>
      <c r="AM110" s="151"/>
    </row>
    <row r="111" spans="1:39">
      <c r="A111" s="147">
        <v>102</v>
      </c>
      <c r="B111" s="148">
        <v>45849</v>
      </c>
      <c r="C111" s="180">
        <f>YEAR(PA_8[[#This Row],[Date]])+IF(MONTH(PA_8[[#This Row],[Date]])&gt;=4,1,0)</f>
        <v>2026</v>
      </c>
      <c r="D111" s="34">
        <f>YEAR(PA_8[[#This Row],[Date]])</f>
        <v>2025</v>
      </c>
      <c r="E111" s="149" t="s">
        <v>324</v>
      </c>
      <c r="F111" s="149" t="s">
        <v>324</v>
      </c>
      <c r="G111" s="169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49" t="s">
        <v>347</v>
      </c>
      <c r="M111" s="35" t="s">
        <v>360</v>
      </c>
      <c r="N111" s="35" t="s">
        <v>361</v>
      </c>
      <c r="O111" s="38" t="s">
        <v>362</v>
      </c>
      <c r="P111" s="35" t="s">
        <v>383</v>
      </c>
      <c r="Q111" s="35" t="s">
        <v>384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11">
        <f>IFERROR(_xlfn.XLOOKUP(PA_8[[#This Row],[Affected Equipment ]],'Basic Data'!$P:$P,'Basic Data'!$T:$T),"")</f>
        <v>2.436261059900731E-4</v>
      </c>
      <c r="W111" s="327" t="s">
        <v>1103</v>
      </c>
      <c r="X111" s="150" t="s">
        <v>1304</v>
      </c>
      <c r="Y111" s="150" t="s">
        <v>1305</v>
      </c>
      <c r="Z111" s="260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1306</v>
      </c>
      <c r="AI111" s="149" t="s">
        <v>366</v>
      </c>
      <c r="AJ111" s="37">
        <f>IFERROR(PA_8[[#This Row],[Breakdown Time]]*PA_8[[#This Row],[Plant Equivalent Weightage]],"")</f>
        <v>1.4617566359404366E-4</v>
      </c>
      <c r="AK111" s="262">
        <v>0.63</v>
      </c>
      <c r="AL111" s="151">
        <f>U111*PA_8[[#This Row],[Lost PoA(Wh/m2)]]*85.3%</f>
        <v>16.986897899999999</v>
      </c>
      <c r="AM111" s="151"/>
    </row>
    <row r="112" spans="1:39">
      <c r="A112" s="147">
        <v>103</v>
      </c>
      <c r="B112" s="148">
        <v>45859</v>
      </c>
      <c r="C112" s="180">
        <f>YEAR(PA_8[[#This Row],[Date]])+IF(MONTH(PA_8[[#This Row],[Date]])&gt;=4,1,0)</f>
        <v>2026</v>
      </c>
      <c r="D112" s="34">
        <f>YEAR(PA_8[[#This Row],[Date]])</f>
        <v>2025</v>
      </c>
      <c r="E112" s="149" t="s">
        <v>324</v>
      </c>
      <c r="F112" s="149" t="s">
        <v>324</v>
      </c>
      <c r="G112" s="169">
        <f>PA_8[[#This Row],[Date]]-DAY(PA_8[[#This Row],[Date]])+1</f>
        <v>45839</v>
      </c>
      <c r="H112" s="34">
        <f>DAY(EOMONTH(PA_8[[#This Row],[Month Year]],0))</f>
        <v>31</v>
      </c>
      <c r="I112" s="36">
        <f>IFERROR(_xlfn.XLOOKUP(PA_8[[#This Row],[Date]],Input_Raw!$A:$A,Input_Raw!F:F),"")</f>
        <v>0.25972222222222224</v>
      </c>
      <c r="J112" s="36">
        <f>IFERROR(_xlfn.XLOOKUP(PA_8[[#This Row],[Date]],Input_Raw!$A:$A,Input_Raw!G:G),"")</f>
        <v>0.78263888888888888</v>
      </c>
      <c r="K112" s="37">
        <f>IFERROR((PA_8[[#This Row],[Sunset Time (POA&lt;20 W/m2)]]-PA_8[[#This Row],[Sunrise Time (POA&gt;20 W/m2)]])*24,"")</f>
        <v>12.55</v>
      </c>
      <c r="L112" s="149" t="s">
        <v>419</v>
      </c>
      <c r="M112" s="35" t="s">
        <v>360</v>
      </c>
      <c r="N112" s="35" t="s">
        <v>349</v>
      </c>
      <c r="O112" s="38" t="s">
        <v>350</v>
      </c>
      <c r="P112" s="35" t="s">
        <v>363</v>
      </c>
      <c r="Q112" s="35" t="s">
        <v>394</v>
      </c>
      <c r="R112" s="34">
        <f>IF((PA_8[[#This Row],[String Type(If String BD)]]&amp;PA_8[[#This Row],[Equipment (If any BD other than PV  array and inv)]])="",1,0)</f>
        <v>0</v>
      </c>
      <c r="S112" s="34">
        <f>IF(PA_8[[#This Row],[String Type(If String BD)]]="",1,0)</f>
        <v>0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2" s="37">
        <f>IFERROR(_xlfn.XLOOKUP(PA_8[[#This Row],[Affected Equipment ]],'Basic Data'!$P:$P,'Basic Data'!$S:$S),"")</f>
        <v>15.805</v>
      </c>
      <c r="V112" s="311">
        <f>IFERROR(_xlfn.XLOOKUP(PA_8[[#This Row],[Affected Equipment ]],'Basic Data'!$P:$P,'Basic Data'!$T:$T),"")</f>
        <v>1.2181305299503655E-4</v>
      </c>
      <c r="W112" s="327" t="s">
        <v>1103</v>
      </c>
      <c r="X112" s="332" t="s">
        <v>1314</v>
      </c>
      <c r="Y112" s="332" t="s">
        <v>1314</v>
      </c>
      <c r="Z112" s="260">
        <v>0.52083333333333337</v>
      </c>
      <c r="AA112" s="39"/>
      <c r="AB112" s="40">
        <v>0.52777777777777779</v>
      </c>
      <c r="AC112" s="39">
        <v>0.77083333333333337</v>
      </c>
      <c r="AD112" s="41">
        <f>IF(PA_8[[#This Row],[Acknowledgement Time ]]="NA","",(PA_8[[#This Row],[Acknowledgement Time ]]-PA_8[[#This Row],[Fault Time]])*24)</f>
        <v>-12.5</v>
      </c>
      <c r="AE112" s="41">
        <f>IF(PA_8[[#This Row],[Work Start time on Fault]]="NA","",(PA_8[[#This Row],[Work Start time on Fault]]-PA_8[[#This Row],[Fault Time]])*24)</f>
        <v>0.16666666666666607</v>
      </c>
      <c r="AF112" s="42">
        <f>IF(PA_8[[#This Row],[Status]]="Open","",(PA_8[[#This Row],[Work Completion time on fault]]-PA_8[[#This Row],[Fault Time]])*24)</f>
        <v>6</v>
      </c>
      <c r="AG112" s="41">
        <f>IFERROR((PA_8[[#This Row],[Work Completion time on fault]]-PA_8[[#This Row],[Fault Time]])*24,"")</f>
        <v>6</v>
      </c>
      <c r="AH112" s="38" t="s">
        <v>1317</v>
      </c>
      <c r="AI112" s="149" t="s">
        <v>366</v>
      </c>
      <c r="AJ112" s="37">
        <f>IFERROR(PA_8[[#This Row],[Breakdown Time]]*PA_8[[#This Row],[Plant Equivalent Weightage]],"")</f>
        <v>7.3087831797021929E-4</v>
      </c>
      <c r="AK112" s="262">
        <v>3.57</v>
      </c>
      <c r="AL112" s="151">
        <f>U112*PA_8[[#This Row],[Lost PoA(Wh/m2)]]*85.3%</f>
        <v>48.129544049999993</v>
      </c>
      <c r="AM112" s="151"/>
    </row>
    <row r="113" spans="1:39">
      <c r="A113" s="147">
        <v>104</v>
      </c>
      <c r="B113" s="148">
        <v>45859</v>
      </c>
      <c r="C113" s="180">
        <f>YEAR(PA_8[[#This Row],[Date]])+IF(MONTH(PA_8[[#This Row],[Date]])&gt;=4,1,0)</f>
        <v>2026</v>
      </c>
      <c r="D113" s="34">
        <f>YEAR(PA_8[[#This Row],[Date]])</f>
        <v>2025</v>
      </c>
      <c r="E113" s="149" t="s">
        <v>324</v>
      </c>
      <c r="F113" s="149" t="s">
        <v>324</v>
      </c>
      <c r="G113" s="169">
        <f>PA_8[[#This Row],[Date]]-DAY(PA_8[[#This Row],[Date]])+1</f>
        <v>45839</v>
      </c>
      <c r="H113" s="34">
        <f>DAY(EOMONTH(PA_8[[#This Row],[Month Year]],0))</f>
        <v>31</v>
      </c>
      <c r="I113" s="36">
        <f>IFERROR(_xlfn.XLOOKUP(PA_8[[#This Row],[Date]],Input_Raw!$A:$A,Input_Raw!F:F),"")</f>
        <v>0.25972222222222224</v>
      </c>
      <c r="J113" s="36">
        <f>IFERROR(_xlfn.XLOOKUP(PA_8[[#This Row],[Date]],Input_Raw!$A:$A,Input_Raw!G:G),"")</f>
        <v>0.78263888888888888</v>
      </c>
      <c r="K113" s="37">
        <f>IFERROR((PA_8[[#This Row],[Sunset Time (POA&lt;20 W/m2)]]-PA_8[[#This Row],[Sunrise Time (POA&gt;20 W/m2)]])*24,"")</f>
        <v>12.55</v>
      </c>
      <c r="L113" s="149" t="s">
        <v>419</v>
      </c>
      <c r="M113" s="35" t="s">
        <v>360</v>
      </c>
      <c r="N113" s="35" t="s">
        <v>349</v>
      </c>
      <c r="O113" s="38" t="s">
        <v>387</v>
      </c>
      <c r="P113" s="35" t="s">
        <v>363</v>
      </c>
      <c r="Q113" s="35" t="s">
        <v>394</v>
      </c>
      <c r="R113" s="34">
        <f>IF((PA_8[[#This Row],[String Type(If String BD)]]&amp;PA_8[[#This Row],[Equipment (If any BD other than PV  array and inv)]])="",1,0)</f>
        <v>0</v>
      </c>
      <c r="S113" s="34">
        <f>IF(PA_8[[#This Row],[String Type(If String BD)]]="",1,0)</f>
        <v>0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3" s="37">
        <f>IFERROR(_xlfn.XLOOKUP(PA_8[[#This Row],[Affected Equipment ]],'Basic Data'!$P:$P,'Basic Data'!$S:$S),"")</f>
        <v>15.805</v>
      </c>
      <c r="V113" s="311">
        <f>IFERROR(_xlfn.XLOOKUP(PA_8[[#This Row],[Affected Equipment ]],'Basic Data'!$P:$P,'Basic Data'!$T:$T),"")</f>
        <v>1.2181305299503655E-4</v>
      </c>
      <c r="W113" s="327" t="s">
        <v>1103</v>
      </c>
      <c r="X113" s="332" t="s">
        <v>1315</v>
      </c>
      <c r="Y113" s="332" t="s">
        <v>1315</v>
      </c>
      <c r="Z113" s="260">
        <v>0.52777777777777779</v>
      </c>
      <c r="AA113" s="39"/>
      <c r="AB113" s="40">
        <v>0.53472222222222221</v>
      </c>
      <c r="AC113" s="39">
        <v>0.77083333333333337</v>
      </c>
      <c r="AD113" s="41">
        <f>IF(PA_8[[#This Row],[Acknowledgement Time ]]="NA","",(PA_8[[#This Row],[Acknowledgement Time ]]-PA_8[[#This Row],[Fault Time]])*24)</f>
        <v>-12.666666666666668</v>
      </c>
      <c r="AE113" s="41">
        <f>IF(PA_8[[#This Row],[Work Start time on Fault]]="NA","",(PA_8[[#This Row],[Work Start time on Fault]]-PA_8[[#This Row],[Fault Time]])*24)</f>
        <v>0.16666666666666607</v>
      </c>
      <c r="AF113" s="42">
        <f>IF(PA_8[[#This Row],[Status]]="Open","",(PA_8[[#This Row],[Work Completion time on fault]]-PA_8[[#This Row],[Fault Time]])*24)</f>
        <v>5.8333333333333339</v>
      </c>
      <c r="AG113" s="41">
        <f>IFERROR((PA_8[[#This Row],[Work Completion time on fault]]-PA_8[[#This Row],[Fault Time]])*24,"")</f>
        <v>5.8333333333333339</v>
      </c>
      <c r="AH113" s="38" t="s">
        <v>1318</v>
      </c>
      <c r="AI113" s="149" t="s">
        <v>366</v>
      </c>
      <c r="AJ113" s="37">
        <f>IFERROR(PA_8[[#This Row],[Breakdown Time]]*PA_8[[#This Row],[Plant Equivalent Weightage]],"")</f>
        <v>7.1057614247104655E-4</v>
      </c>
      <c r="AK113" s="262">
        <v>3.41</v>
      </c>
      <c r="AL113" s="151">
        <f>U113*PA_8[[#This Row],[Lost PoA(Wh/m2)]]*85.3%</f>
        <v>45.972477650000002</v>
      </c>
      <c r="AM113" s="151"/>
    </row>
    <row r="114" spans="1:39">
      <c r="A114" s="147">
        <v>105</v>
      </c>
      <c r="B114" s="148">
        <v>45859</v>
      </c>
      <c r="C114" s="180">
        <f>YEAR(PA_8[[#This Row],[Date]])+IF(MONTH(PA_8[[#This Row],[Date]])&gt;=4,1,0)</f>
        <v>2026</v>
      </c>
      <c r="D114" s="34">
        <f>YEAR(PA_8[[#This Row],[Date]])</f>
        <v>2025</v>
      </c>
      <c r="E114" s="149" t="s">
        <v>324</v>
      </c>
      <c r="F114" s="149" t="s">
        <v>324</v>
      </c>
      <c r="G114" s="169">
        <f>PA_8[[#This Row],[Date]]-DAY(PA_8[[#This Row],[Date]])+1</f>
        <v>45839</v>
      </c>
      <c r="H114" s="34">
        <f>DAY(EOMONTH(PA_8[[#This Row],[Month Year]],0))</f>
        <v>31</v>
      </c>
      <c r="I114" s="36">
        <f>IFERROR(_xlfn.XLOOKUP(PA_8[[#This Row],[Date]],Input_Raw!$A:$A,Input_Raw!F:F),"")</f>
        <v>0.25972222222222224</v>
      </c>
      <c r="J114" s="36">
        <f>IFERROR(_xlfn.XLOOKUP(PA_8[[#This Row],[Date]],Input_Raw!$A:$A,Input_Raw!G:G),"")</f>
        <v>0.78263888888888888</v>
      </c>
      <c r="K114" s="37">
        <f>IFERROR((PA_8[[#This Row],[Sunset Time (POA&lt;20 W/m2)]]-PA_8[[#This Row],[Sunrise Time (POA&gt;20 W/m2)]])*24,"")</f>
        <v>12.55</v>
      </c>
      <c r="L114" s="149" t="s">
        <v>419</v>
      </c>
      <c r="M114" s="35" t="s">
        <v>360</v>
      </c>
      <c r="N114" s="35" t="s">
        <v>349</v>
      </c>
      <c r="O114" s="38" t="s">
        <v>393</v>
      </c>
      <c r="P114" s="35" t="s">
        <v>363</v>
      </c>
      <c r="Q114" s="35" t="s">
        <v>394</v>
      </c>
      <c r="R114" s="34">
        <f>IF((PA_8[[#This Row],[String Type(If String BD)]]&amp;PA_8[[#This Row],[Equipment (If any BD other than PV  array and inv)]])="",1,0)</f>
        <v>0</v>
      </c>
      <c r="S114" s="34">
        <f>IF(PA_8[[#This Row],[String Type(If String BD)]]="",1,0)</f>
        <v>0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4" s="37">
        <f>IFERROR(_xlfn.XLOOKUP(PA_8[[#This Row],[Affected Equipment ]],'Basic Data'!$P:$P,'Basic Data'!$S:$S),"")</f>
        <v>15.805</v>
      </c>
      <c r="V114" s="311">
        <f>IFERROR(_xlfn.XLOOKUP(PA_8[[#This Row],[Affected Equipment ]],'Basic Data'!$P:$P,'Basic Data'!$T:$T),"")</f>
        <v>1.2181305299503655E-4</v>
      </c>
      <c r="W114" s="327" t="s">
        <v>1103</v>
      </c>
      <c r="X114" s="332" t="s">
        <v>1316</v>
      </c>
      <c r="Y114" s="332" t="s">
        <v>1316</v>
      </c>
      <c r="Z114" s="260">
        <v>0.46944444444444444</v>
      </c>
      <c r="AA114" s="39"/>
      <c r="AB114" s="40">
        <v>0.47222222222222221</v>
      </c>
      <c r="AC114" s="39">
        <v>0.77083333333333337</v>
      </c>
      <c r="AD114" s="41">
        <f>IF(PA_8[[#This Row],[Acknowledgement Time ]]="NA","",(PA_8[[#This Row],[Acknowledgement Time ]]-PA_8[[#This Row],[Fault Time]])*24)</f>
        <v>-11.266666666666666</v>
      </c>
      <c r="AE114" s="41">
        <f>IF(PA_8[[#This Row],[Work Start time on Fault]]="NA","",(PA_8[[#This Row],[Work Start time on Fault]]-PA_8[[#This Row],[Fault Time]])*24)</f>
        <v>6.666666666666643E-2</v>
      </c>
      <c r="AF114" s="42">
        <f>IF(PA_8[[#This Row],[Status]]="Open","",(PA_8[[#This Row],[Work Completion time on fault]]-PA_8[[#This Row],[Fault Time]])*24)</f>
        <v>7.2333333333333343</v>
      </c>
      <c r="AG114" s="41">
        <f>IFERROR((PA_8[[#This Row],[Work Completion time on fault]]-PA_8[[#This Row],[Fault Time]])*24,"")</f>
        <v>7.2333333333333343</v>
      </c>
      <c r="AH114" s="38" t="s">
        <v>1318</v>
      </c>
      <c r="AI114" s="149" t="s">
        <v>366</v>
      </c>
      <c r="AJ114" s="37">
        <f>IFERROR(PA_8[[#This Row],[Breakdown Time]]*PA_8[[#This Row],[Plant Equivalent Weightage]],"")</f>
        <v>8.8111441666409776E-4</v>
      </c>
      <c r="AK114" s="262">
        <v>4.7699999999999996</v>
      </c>
      <c r="AL114" s="151">
        <f>U114*PA_8[[#This Row],[Lost PoA(Wh/m2)]]*85.3%</f>
        <v>64.307542049999995</v>
      </c>
      <c r="AM114" s="151"/>
    </row>
    <row r="115" spans="1:39">
      <c r="A115" s="147">
        <v>106</v>
      </c>
      <c r="B115" s="148">
        <v>45860</v>
      </c>
      <c r="C115" s="180">
        <f>YEAR(PA_8[[#This Row],[Date]])+IF(MONTH(PA_8[[#This Row],[Date]])&gt;=4,1,0)</f>
        <v>2026</v>
      </c>
      <c r="D115" s="34">
        <f>YEAR(PA_8[[#This Row],[Date]])</f>
        <v>2025</v>
      </c>
      <c r="E115" s="149" t="s">
        <v>324</v>
      </c>
      <c r="F115" s="149" t="s">
        <v>324</v>
      </c>
      <c r="G115" s="169">
        <f>PA_8[[#This Row],[Date]]-DAY(PA_8[[#This Row],[Date]])+1</f>
        <v>45839</v>
      </c>
      <c r="H115" s="34">
        <f>DAY(EOMONTH(PA_8[[#This Row],[Month Year]],0))</f>
        <v>31</v>
      </c>
      <c r="I115" s="36">
        <f>IFERROR(_xlfn.XLOOKUP(PA_8[[#This Row],[Date]],Input_Raw!$A:$A,Input_Raw!F:F),"")</f>
        <v>0.27152777777777776</v>
      </c>
      <c r="J115" s="36">
        <f>IFERROR(_xlfn.XLOOKUP(PA_8[[#This Row],[Date]],Input_Raw!$A:$A,Input_Raw!G:G),"")</f>
        <v>0.77847222222222223</v>
      </c>
      <c r="K115" s="37">
        <f>IFERROR((PA_8[[#This Row],[Sunset Time (POA&lt;20 W/m2)]]-PA_8[[#This Row],[Sunrise Time (POA&gt;20 W/m2)]])*24,"")</f>
        <v>12.166666666666666</v>
      </c>
      <c r="L115" s="149" t="s">
        <v>419</v>
      </c>
      <c r="M115" s="35"/>
      <c r="N115" s="35"/>
      <c r="O115" s="38"/>
      <c r="P115" s="35"/>
      <c r="Q115" s="35" t="s">
        <v>352</v>
      </c>
      <c r="R115" s="34">
        <f>IF((PA_8[[#This Row],[String Type(If String BD)]]&amp;PA_8[[#This Row],[Equipment (If any BD other than PV  array and inv)]])="",1,0)</f>
        <v>0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115" s="37">
        <f>IFERROR(_xlfn.XLOOKUP(PA_8[[#This Row],[Affected Equipment ]],'Basic Data'!$P:$P,'Basic Data'!$S:$S),"")</f>
        <v>6922.5900000000011</v>
      </c>
      <c r="V115" s="311">
        <f>IFERROR(_xlfn.XLOOKUP(PA_8[[#This Row],[Affected Equipment ]],'Basic Data'!$P:$P,'Basic Data'!$T:$T),"")</f>
        <v>5.3354117211826015E-2</v>
      </c>
      <c r="W115" s="333" t="s">
        <v>390</v>
      </c>
      <c r="X115" s="150" t="s">
        <v>1319</v>
      </c>
      <c r="Y115" s="150" t="s">
        <v>1319</v>
      </c>
      <c r="Z115" s="260">
        <v>0.40416666666666667</v>
      </c>
      <c r="AA115" s="39"/>
      <c r="AB115" s="40">
        <v>0.40972222222222221</v>
      </c>
      <c r="AC115" s="39">
        <v>0.44583333333333336</v>
      </c>
      <c r="AD115" s="41">
        <f>IF(PA_8[[#This Row],[Acknowledgement Time ]]="NA","",(PA_8[[#This Row],[Acknowledgement Time ]]-PA_8[[#This Row],[Fault Time]])*24)</f>
        <v>-9.6999999999999993</v>
      </c>
      <c r="AE115" s="41">
        <f>IF(PA_8[[#This Row],[Work Start time on Fault]]="NA","",(PA_8[[#This Row],[Work Start time on Fault]]-PA_8[[#This Row],[Fault Time]])*24)</f>
        <v>0.13333333333333286</v>
      </c>
      <c r="AF115" s="42">
        <f>IF(PA_8[[#This Row],[Status]]="Open","",(PA_8[[#This Row],[Work Completion time on fault]]-PA_8[[#This Row],[Fault Time]])*24)</f>
        <v>1.0000000000000004</v>
      </c>
      <c r="AG115" s="41">
        <f>IFERROR((PA_8[[#This Row],[Work Completion time on fault]]-PA_8[[#This Row],[Fault Time]])*24,"")</f>
        <v>1.0000000000000004</v>
      </c>
      <c r="AH115" s="38" t="s">
        <v>1320</v>
      </c>
      <c r="AI115" s="149" t="s">
        <v>366</v>
      </c>
      <c r="AJ115" s="37">
        <f>IFERROR(PA_8[[#This Row],[Breakdown Time]]*PA_8[[#This Row],[Plant Equivalent Weightage]],"")</f>
        <v>5.3354117211826035E-2</v>
      </c>
      <c r="AK115" s="262">
        <v>0.96</v>
      </c>
      <c r="AL115" s="151">
        <f>U115*PA_8[[#This Row],[Lost PoA(Wh/m2)]]*85.3%</f>
        <v>5668.7704991999999</v>
      </c>
      <c r="AM115" s="151"/>
    </row>
    <row r="116" spans="1:39">
      <c r="A116" s="147">
        <v>107</v>
      </c>
      <c r="B116" s="148">
        <v>45860</v>
      </c>
      <c r="C116" s="180">
        <f>YEAR(PA_8[[#This Row],[Date]])+IF(MONTH(PA_8[[#This Row],[Date]])&gt;=4,1,0)</f>
        <v>2026</v>
      </c>
      <c r="D116" s="34">
        <f>YEAR(PA_8[[#This Row],[Date]])</f>
        <v>2025</v>
      </c>
      <c r="E116" s="149" t="s">
        <v>324</v>
      </c>
      <c r="F116" s="149" t="s">
        <v>324</v>
      </c>
      <c r="G116" s="169">
        <f>PA_8[[#This Row],[Date]]-DAY(PA_8[[#This Row],[Date]])+1</f>
        <v>45839</v>
      </c>
      <c r="H116" s="34">
        <f>DAY(EOMONTH(PA_8[[#This Row],[Month Year]],0))</f>
        <v>31</v>
      </c>
      <c r="I116" s="36">
        <f>IFERROR(_xlfn.XLOOKUP(PA_8[[#This Row],[Date]],Input_Raw!$A:$A,Input_Raw!F:F),"")</f>
        <v>0.27152777777777776</v>
      </c>
      <c r="J116" s="36">
        <f>IFERROR(_xlfn.XLOOKUP(PA_8[[#This Row],[Date]],Input_Raw!$A:$A,Input_Raw!G:G),"")</f>
        <v>0.77847222222222223</v>
      </c>
      <c r="K116" s="37">
        <f>IFERROR((PA_8[[#This Row],[Sunset Time (POA&lt;20 W/m2)]]-PA_8[[#This Row],[Sunrise Time (POA&gt;20 W/m2)]])*24,"")</f>
        <v>12.166666666666666</v>
      </c>
      <c r="L116" s="149" t="s">
        <v>367</v>
      </c>
      <c r="M116" s="35" t="s">
        <v>348</v>
      </c>
      <c r="N116" s="35" t="s">
        <v>361</v>
      </c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</v>
      </c>
      <c r="U116" s="37">
        <f>IFERROR(_xlfn.XLOOKUP(PA_8[[#This Row],[Affected Equipment ]],'Basic Data'!$P:$P,'Basic Data'!$S:$S),"")</f>
        <v>2215.31</v>
      </c>
      <c r="V116" s="311">
        <f>IFERROR(_xlfn.XLOOKUP(PA_8[[#This Row],[Affected Equipment ]],'Basic Data'!$P:$P,'Basic Data'!$T:$T),"")</f>
        <v>1.7073943336313471E-2</v>
      </c>
      <c r="W116" s="333" t="s">
        <v>1279</v>
      </c>
      <c r="X116" s="150" t="s">
        <v>1326</v>
      </c>
      <c r="Y116" s="150" t="s">
        <v>1326</v>
      </c>
      <c r="Z116" s="260">
        <v>0.27083333333333331</v>
      </c>
      <c r="AA116" s="39"/>
      <c r="AB116" s="40">
        <v>0.27777777777777779</v>
      </c>
      <c r="AC116" s="39">
        <v>0.53125</v>
      </c>
      <c r="AD116" s="41">
        <f>IF(PA_8[[#This Row],[Acknowledgement Time ]]="NA","",(PA_8[[#This Row],[Acknowledgement Time ]]-PA_8[[#This Row],[Fault Time]])*24)</f>
        <v>-6.5</v>
      </c>
      <c r="AE116" s="41">
        <f>IF(PA_8[[#This Row],[Work Start time on Fault]]="NA","",(PA_8[[#This Row],[Work Start time on Fault]]-PA_8[[#This Row],[Fault Time]])*24)</f>
        <v>0.16666666666666741</v>
      </c>
      <c r="AF116" s="42">
        <f>IF(PA_8[[#This Row],[Status]]="Open","",(PA_8[[#This Row],[Work Completion time on fault]]-PA_8[[#This Row],[Fault Time]])*24)</f>
        <v>6.25</v>
      </c>
      <c r="AG116" s="41">
        <f>IFERROR((PA_8[[#This Row],[Work Completion time on fault]]-PA_8[[#This Row],[Fault Time]])*24,"")</f>
        <v>6.25</v>
      </c>
      <c r="AH116" s="38" t="s">
        <v>1321</v>
      </c>
      <c r="AI116" s="149" t="s">
        <v>366</v>
      </c>
      <c r="AJ116" s="37">
        <f>IFERROR(PA_8[[#This Row],[Breakdown Time]]*PA_8[[#This Row],[Plant Equivalent Weightage]],"")</f>
        <v>0.10671214585195919</v>
      </c>
      <c r="AK116" s="262">
        <v>2.95</v>
      </c>
      <c r="AL116" s="151">
        <f>U116*PA_8[[#This Row],[Lost PoA(Wh/m2)]]*85.3%</f>
        <v>5574.4953184999995</v>
      </c>
      <c r="AM116" s="151"/>
    </row>
    <row r="117" spans="1:39">
      <c r="A117" s="147">
        <v>108</v>
      </c>
      <c r="B117" s="148">
        <v>45860</v>
      </c>
      <c r="C117" s="180">
        <f>YEAR(PA_8[[#This Row],[Date]])+IF(MONTH(PA_8[[#This Row],[Date]])&gt;=4,1,0)</f>
        <v>2026</v>
      </c>
      <c r="D117" s="34">
        <f>YEAR(PA_8[[#This Row],[Date]])</f>
        <v>2025</v>
      </c>
      <c r="E117" s="149" t="s">
        <v>324</v>
      </c>
      <c r="F117" s="149" t="s">
        <v>324</v>
      </c>
      <c r="G117" s="169">
        <f>PA_8[[#This Row],[Date]]-DAY(PA_8[[#This Row],[Date]])+1</f>
        <v>45839</v>
      </c>
      <c r="H117" s="34">
        <f>DAY(EOMONTH(PA_8[[#This Row],[Month Year]],0))</f>
        <v>31</v>
      </c>
      <c r="I117" s="36">
        <f>IFERROR(_xlfn.XLOOKUP(PA_8[[#This Row],[Date]],Input_Raw!$A:$A,Input_Raw!F:F),"")</f>
        <v>0.27152777777777776</v>
      </c>
      <c r="J117" s="36">
        <f>IFERROR(_xlfn.XLOOKUP(PA_8[[#This Row],[Date]],Input_Raw!$A:$A,Input_Raw!G:G),"")</f>
        <v>0.77847222222222223</v>
      </c>
      <c r="K117" s="37">
        <f>IFERROR((PA_8[[#This Row],[Sunset Time (POA&lt;20 W/m2)]]-PA_8[[#This Row],[Sunrise Time (POA&gt;20 W/m2)]])*24,"")</f>
        <v>12.166666666666666</v>
      </c>
      <c r="L117" s="149" t="s">
        <v>367</v>
      </c>
      <c r="M117" s="35" t="s">
        <v>348</v>
      </c>
      <c r="N117" s="35" t="s">
        <v>361</v>
      </c>
      <c r="O117" s="38" t="s">
        <v>370</v>
      </c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7" s="37">
        <f>IFERROR(_xlfn.XLOOKUP(PA_8[[#This Row],[Affected Equipment ]],'Basic Data'!$P:$P,'Basic Data'!$S:$S),"")</f>
        <v>221.27</v>
      </c>
      <c r="V117" s="311">
        <f>IFERROR(_xlfn.XLOOKUP(PA_8[[#This Row],[Affected Equipment ]],'Basic Data'!$P:$P,'Basic Data'!$T:$T),"")</f>
        <v>1.7053827419305117E-3</v>
      </c>
      <c r="W117" s="333" t="s">
        <v>330</v>
      </c>
      <c r="X117" s="150" t="s">
        <v>1323</v>
      </c>
      <c r="Y117" s="150" t="s">
        <v>1323</v>
      </c>
      <c r="Z117" s="260">
        <v>0.53125</v>
      </c>
      <c r="AA117" s="39"/>
      <c r="AB117" s="40">
        <v>0.54166666666666663</v>
      </c>
      <c r="AC117" s="39">
        <v>0.77083333333333337</v>
      </c>
      <c r="AD117" s="41">
        <f>IF(PA_8[[#This Row],[Acknowledgement Time ]]="NA","",(PA_8[[#This Row],[Acknowledgement Time ]]-PA_8[[#This Row],[Fault Time]])*24)</f>
        <v>-12.75</v>
      </c>
      <c r="AE117" s="41">
        <f>IF(PA_8[[#This Row],[Work Start time on Fault]]="NA","",(PA_8[[#This Row],[Work Start time on Fault]]-PA_8[[#This Row],[Fault Time]])*24)</f>
        <v>0.24999999999999911</v>
      </c>
      <c r="AF117" s="42" t="str">
        <f>IF(PA_8[[#This Row],[Status]]="Open","",(PA_8[[#This Row],[Work Completion time on fault]]-PA_8[[#This Row],[Fault Time]])*24)</f>
        <v/>
      </c>
      <c r="AG117" s="41">
        <f>IFERROR((PA_8[[#This Row],[Work Completion time on fault]]-PA_8[[#This Row],[Fault Time]])*24,"")</f>
        <v>5.7500000000000009</v>
      </c>
      <c r="AH117" s="38" t="s">
        <v>1286</v>
      </c>
      <c r="AI117" s="149" t="s">
        <v>358</v>
      </c>
      <c r="AJ117" s="37">
        <f>IFERROR(PA_8[[#This Row],[Breakdown Time]]*PA_8[[#This Row],[Plant Equivalent Weightage]],"")</f>
        <v>9.8059507661004443E-3</v>
      </c>
      <c r="AK117" s="262">
        <v>1.78</v>
      </c>
      <c r="AL117" s="151">
        <f>U117*PA_8[[#This Row],[Lost PoA(Wh/m2)]]*85.3%</f>
        <v>335.96309180000003</v>
      </c>
      <c r="AM117" s="151"/>
    </row>
    <row r="118" spans="1:39">
      <c r="A118" s="147">
        <v>109</v>
      </c>
      <c r="B118" s="148">
        <v>45861</v>
      </c>
      <c r="C118" s="180">
        <f>YEAR(PA_8[[#This Row],[Date]])+IF(MONTH(PA_8[[#This Row],[Date]])&gt;=4,1,0)</f>
        <v>2026</v>
      </c>
      <c r="D118" s="34">
        <f>YEAR(PA_8[[#This Row],[Date]])</f>
        <v>2025</v>
      </c>
      <c r="E118" s="149" t="s">
        <v>324</v>
      </c>
      <c r="F118" s="149" t="s">
        <v>324</v>
      </c>
      <c r="G118" s="169">
        <f>PA_8[[#This Row],[Date]]-DAY(PA_8[[#This Row],[Date]])+1</f>
        <v>45839</v>
      </c>
      <c r="H118" s="34">
        <f>DAY(EOMONTH(PA_8[[#This Row],[Month Year]],0))</f>
        <v>31</v>
      </c>
      <c r="I118" s="36">
        <f>IFERROR(_xlfn.XLOOKUP(PA_8[[#This Row],[Date]],Input_Raw!$A:$A,Input_Raw!F:F),"")</f>
        <v>0.27083333333333331</v>
      </c>
      <c r="J118" s="36">
        <f>IFERROR(_xlfn.XLOOKUP(PA_8[[#This Row],[Date]],Input_Raw!$A:$A,Input_Raw!G:G),"")</f>
        <v>0.77777777777777779</v>
      </c>
      <c r="K118" s="37">
        <f>IFERROR((PA_8[[#This Row],[Sunset Time (POA&lt;20 W/m2)]]-PA_8[[#This Row],[Sunrise Time (POA&gt;20 W/m2)]])*24,"")</f>
        <v>12.166666666666666</v>
      </c>
      <c r="L118" s="149" t="s">
        <v>367</v>
      </c>
      <c r="M118" s="35" t="s">
        <v>348</v>
      </c>
      <c r="N118" s="35" t="s">
        <v>361</v>
      </c>
      <c r="O118" s="38" t="s">
        <v>370</v>
      </c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8" s="37">
        <f>IFERROR(_xlfn.XLOOKUP(PA_8[[#This Row],[Affected Equipment ]],'Basic Data'!$P:$P,'Basic Data'!$S:$S),"")</f>
        <v>221.27</v>
      </c>
      <c r="V118" s="311">
        <f>IFERROR(_xlfn.XLOOKUP(PA_8[[#This Row],[Affected Equipment ]],'Basic Data'!$P:$P,'Basic Data'!$T:$T),"")</f>
        <v>1.7053827419305117E-3</v>
      </c>
      <c r="W118" s="333" t="s">
        <v>330</v>
      </c>
      <c r="X118" s="150" t="s">
        <v>1323</v>
      </c>
      <c r="Y118" s="150" t="s">
        <v>1323</v>
      </c>
      <c r="Z118" s="260">
        <v>0.27083333333333331</v>
      </c>
      <c r="AA118" s="39"/>
      <c r="AB118" s="40">
        <v>0.27083333333333331</v>
      </c>
      <c r="AC118" s="39">
        <v>0.77083333333333337</v>
      </c>
      <c r="AD118" s="41">
        <f>IF(PA_8[[#This Row],[Acknowledgement Time ]]="NA","",(PA_8[[#This Row],[Acknowledgement Time ]]-PA_8[[#This Row],[Fault Time]])*24)</f>
        <v>-6.5</v>
      </c>
      <c r="AE118" s="41">
        <f>IF(PA_8[[#This Row],[Work Start time on Fault]]="NA","",(PA_8[[#This Row],[Work Start time on Fault]]-PA_8[[#This Row],[Fault Time]])*24)</f>
        <v>0</v>
      </c>
      <c r="AF118" s="42" t="str">
        <f>IF(PA_8[[#This Row],[Status]]="Open","",(PA_8[[#This Row],[Work Completion time on fault]]-PA_8[[#This Row],[Fault Time]])*24)</f>
        <v/>
      </c>
      <c r="AG118" s="41">
        <f>IFERROR((PA_8[[#This Row],[Work Completion time on fault]]-PA_8[[#This Row],[Fault Time]])*24,"")</f>
        <v>12</v>
      </c>
      <c r="AH118" s="38" t="s">
        <v>1286</v>
      </c>
      <c r="AI118" s="149" t="s">
        <v>358</v>
      </c>
      <c r="AJ118" s="37">
        <f>IFERROR(PA_8[[#This Row],[Breakdown Time]]*PA_8[[#This Row],[Plant Equivalent Weightage]],"")</f>
        <v>2.0464592903166139E-2</v>
      </c>
      <c r="AK118" s="262">
        <v>3.31</v>
      </c>
      <c r="AL118" s="151">
        <f>U118*PA_8[[#This Row],[Lost PoA(Wh/m2)]]*85.3%</f>
        <v>624.7403561000001</v>
      </c>
      <c r="AM118" s="151"/>
    </row>
    <row r="119" spans="1:39">
      <c r="A119" s="147">
        <v>110</v>
      </c>
      <c r="B119" s="148">
        <v>45862</v>
      </c>
      <c r="C119" s="180">
        <f>YEAR(PA_8[[#This Row],[Date]])+IF(MONTH(PA_8[[#This Row],[Date]])&gt;=4,1,0)</f>
        <v>2026</v>
      </c>
      <c r="D119" s="34">
        <f>YEAR(PA_8[[#This Row],[Date]])</f>
        <v>2025</v>
      </c>
      <c r="E119" s="149" t="s">
        <v>324</v>
      </c>
      <c r="F119" s="149" t="s">
        <v>324</v>
      </c>
      <c r="G119" s="169">
        <f>PA_8[[#This Row],[Date]]-DAY(PA_8[[#This Row],[Date]])+1</f>
        <v>45839</v>
      </c>
      <c r="H119" s="34">
        <f>DAY(EOMONTH(PA_8[[#This Row],[Month Year]],0))</f>
        <v>31</v>
      </c>
      <c r="I119" s="36">
        <f>IFERROR(_xlfn.XLOOKUP(PA_8[[#This Row],[Date]],Input_Raw!$A:$A,Input_Raw!F:F),"")</f>
        <v>0.28402777777777777</v>
      </c>
      <c r="J119" s="36">
        <f>IFERROR(_xlfn.XLOOKUP(PA_8[[#This Row],[Date]],Input_Raw!$A:$A,Input_Raw!G:G),"")</f>
        <v>0.73541666666666672</v>
      </c>
      <c r="K119" s="37">
        <f>IFERROR((PA_8[[#This Row],[Sunset Time (POA&lt;20 W/m2)]]-PA_8[[#This Row],[Sunrise Time (POA&gt;20 W/m2)]])*24,"")</f>
        <v>10.833333333333336</v>
      </c>
      <c r="L119" s="149" t="s">
        <v>367</v>
      </c>
      <c r="M119" s="35" t="s">
        <v>348</v>
      </c>
      <c r="N119" s="35" t="s">
        <v>361</v>
      </c>
      <c r="O119" s="38" t="s">
        <v>370</v>
      </c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9" s="37">
        <f>IFERROR(_xlfn.XLOOKUP(PA_8[[#This Row],[Affected Equipment ]],'Basic Data'!$P:$P,'Basic Data'!$S:$S),"")</f>
        <v>221.27</v>
      </c>
      <c r="V119" s="311">
        <f>IFERROR(_xlfn.XLOOKUP(PA_8[[#This Row],[Affected Equipment ]],'Basic Data'!$P:$P,'Basic Data'!$T:$T),"")</f>
        <v>1.7053827419305117E-3</v>
      </c>
      <c r="W119" s="333" t="s">
        <v>330</v>
      </c>
      <c r="X119" s="150" t="s">
        <v>1323</v>
      </c>
      <c r="Y119" s="150" t="s">
        <v>1323</v>
      </c>
      <c r="Z119" s="260">
        <v>0.27083333333333331</v>
      </c>
      <c r="AA119" s="39"/>
      <c r="AB119" s="40">
        <v>0.27083333333333331</v>
      </c>
      <c r="AC119" s="39">
        <v>0.77083333333333337</v>
      </c>
      <c r="AD119" s="41">
        <f>IF(PA_8[[#This Row],[Acknowledgement Time ]]="NA","",(PA_8[[#This Row],[Acknowledgement Time ]]-PA_8[[#This Row],[Fault Time]])*24)</f>
        <v>-6.5</v>
      </c>
      <c r="AE119" s="41">
        <f>IF(PA_8[[#This Row],[Work Start time on Fault]]="NA","",(PA_8[[#This Row],[Work Start time on Fault]]-PA_8[[#This Row],[Fault Time]])*24)</f>
        <v>0</v>
      </c>
      <c r="AF119" s="42" t="str">
        <f>IF(PA_8[[#This Row],[Status]]="Open","",(PA_8[[#This Row],[Work Completion time on fault]]-PA_8[[#This Row],[Fault Time]])*24)</f>
        <v/>
      </c>
      <c r="AG119" s="41">
        <f>IFERROR((PA_8[[#This Row],[Work Completion time on fault]]-PA_8[[#This Row],[Fault Time]])*24,"")</f>
        <v>12</v>
      </c>
      <c r="AH119" s="38" t="s">
        <v>1286</v>
      </c>
      <c r="AI119" s="149" t="s">
        <v>358</v>
      </c>
      <c r="AJ119" s="37">
        <f>IFERROR(PA_8[[#This Row],[Breakdown Time]]*PA_8[[#This Row],[Plant Equivalent Weightage]],"")</f>
        <v>2.0464592903166139E-2</v>
      </c>
      <c r="AK119" s="262">
        <v>2.57</v>
      </c>
      <c r="AL119" s="151">
        <f>U119*PA_8[[#This Row],[Lost PoA(Wh/m2)]]*85.3%</f>
        <v>485.0703067</v>
      </c>
      <c r="AM119" s="151"/>
    </row>
    <row r="120" spans="1:39">
      <c r="A120" s="147">
        <v>111</v>
      </c>
      <c r="B120" s="148">
        <v>45863</v>
      </c>
      <c r="C120" s="180">
        <f>YEAR(PA_8[[#This Row],[Date]])+IF(MONTH(PA_8[[#This Row],[Date]])&gt;=4,1,0)</f>
        <v>2026</v>
      </c>
      <c r="D120" s="34">
        <f>YEAR(PA_8[[#This Row],[Date]])</f>
        <v>2025</v>
      </c>
      <c r="E120" s="149" t="s">
        <v>324</v>
      </c>
      <c r="F120" s="149" t="s">
        <v>324</v>
      </c>
      <c r="G120" s="169">
        <f>PA_8[[#This Row],[Date]]-DAY(PA_8[[#This Row],[Date]])+1</f>
        <v>45839</v>
      </c>
      <c r="H120" s="34">
        <f>DAY(EOMONTH(PA_8[[#This Row],[Month Year]],0))</f>
        <v>31</v>
      </c>
      <c r="I120" s="36">
        <f>IFERROR(_xlfn.XLOOKUP(PA_8[[#This Row],[Date]],Input_Raw!$A:$A,Input_Raw!F:F),"")</f>
        <v>0.27013888888888887</v>
      </c>
      <c r="J120" s="36">
        <f>IFERROR(_xlfn.XLOOKUP(PA_8[[#This Row],[Date]],Input_Raw!$A:$A,Input_Raw!G:G),"")</f>
        <v>0.77638888888888891</v>
      </c>
      <c r="K120" s="37">
        <f>IFERROR((PA_8[[#This Row],[Sunset Time (POA&lt;20 W/m2)]]-PA_8[[#This Row],[Sunrise Time (POA&gt;20 W/m2)]])*24,"")</f>
        <v>12.150000000000002</v>
      </c>
      <c r="L120" s="149" t="s">
        <v>367</v>
      </c>
      <c r="M120" s="35" t="s">
        <v>348</v>
      </c>
      <c r="N120" s="35" t="s">
        <v>361</v>
      </c>
      <c r="O120" s="38" t="s">
        <v>370</v>
      </c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0" s="37">
        <f>IFERROR(_xlfn.XLOOKUP(PA_8[[#This Row],[Affected Equipment ]],'Basic Data'!$P:$P,'Basic Data'!$S:$S),"")</f>
        <v>221.27</v>
      </c>
      <c r="V120" s="311">
        <f>IFERROR(_xlfn.XLOOKUP(PA_8[[#This Row],[Affected Equipment ]],'Basic Data'!$P:$P,'Basic Data'!$T:$T),"")</f>
        <v>1.7053827419305117E-3</v>
      </c>
      <c r="W120" s="333" t="s">
        <v>330</v>
      </c>
      <c r="X120" s="150" t="s">
        <v>1323</v>
      </c>
      <c r="Y120" s="150" t="s">
        <v>1323</v>
      </c>
      <c r="Z120" s="260">
        <v>0.27083333333333331</v>
      </c>
      <c r="AA120" s="39"/>
      <c r="AB120" s="40">
        <v>0.27083333333333331</v>
      </c>
      <c r="AC120" s="39">
        <v>0.77083333333333337</v>
      </c>
      <c r="AD120" s="41">
        <f>IF(PA_8[[#This Row],[Acknowledgement Time ]]="NA","",(PA_8[[#This Row],[Acknowledgement Time ]]-PA_8[[#This Row],[Fault Time]])*24)</f>
        <v>-6.5</v>
      </c>
      <c r="AE120" s="41">
        <f>IF(PA_8[[#This Row],[Work Start time on Fault]]="NA","",(PA_8[[#This Row],[Work Start time on Fault]]-PA_8[[#This Row],[Fault Time]])*24)</f>
        <v>0</v>
      </c>
      <c r="AF120" s="42" t="str">
        <f>IF(PA_8[[#This Row],[Status]]="Open","",(PA_8[[#This Row],[Work Completion time on fault]]-PA_8[[#This Row],[Fault Time]])*24)</f>
        <v/>
      </c>
      <c r="AG120" s="41">
        <f>IFERROR((PA_8[[#This Row],[Work Completion time on fault]]-PA_8[[#This Row],[Fault Time]])*24,"")</f>
        <v>12</v>
      </c>
      <c r="AH120" s="38" t="s">
        <v>1286</v>
      </c>
      <c r="AI120" s="149" t="s">
        <v>358</v>
      </c>
      <c r="AJ120" s="37">
        <f>IFERROR(PA_8[[#This Row],[Breakdown Time]]*PA_8[[#This Row],[Plant Equivalent Weightage]],"")</f>
        <v>2.0464592903166139E-2</v>
      </c>
      <c r="AK120" s="262">
        <v>3.64</v>
      </c>
      <c r="AL120" s="151">
        <f>U120*PA_8[[#This Row],[Lost PoA(Wh/m2)]]*85.3%</f>
        <v>687.02564840000002</v>
      </c>
      <c r="AM120" s="151"/>
    </row>
    <row r="121" spans="1:39">
      <c r="A121" s="147">
        <v>112</v>
      </c>
      <c r="B121" s="148">
        <v>45864</v>
      </c>
      <c r="C121" s="180">
        <f>YEAR(PA_8[[#This Row],[Date]])+IF(MONTH(PA_8[[#This Row],[Date]])&gt;=4,1,0)</f>
        <v>2026</v>
      </c>
      <c r="D121" s="34">
        <f>YEAR(PA_8[[#This Row],[Date]])</f>
        <v>2025</v>
      </c>
      <c r="E121" s="149" t="s">
        <v>324</v>
      </c>
      <c r="F121" s="149" t="s">
        <v>324</v>
      </c>
      <c r="G121" s="169">
        <f>PA_8[[#This Row],[Date]]-DAY(PA_8[[#This Row],[Date]])+1</f>
        <v>45839</v>
      </c>
      <c r="H121" s="34">
        <f>DAY(EOMONTH(PA_8[[#This Row],[Month Year]],0))</f>
        <v>31</v>
      </c>
      <c r="I121" s="36">
        <f>IFERROR(_xlfn.XLOOKUP(PA_8[[#This Row],[Date]],Input_Raw!$A:$A,Input_Raw!F:F),"")</f>
        <v>0.26944444444444443</v>
      </c>
      <c r="J121" s="36">
        <f>IFERROR(_xlfn.XLOOKUP(PA_8[[#This Row],[Date]],Input_Raw!$A:$A,Input_Raw!G:G),"")</f>
        <v>0.74722222222222223</v>
      </c>
      <c r="K121" s="37">
        <f>IFERROR((PA_8[[#This Row],[Sunset Time (POA&lt;20 W/m2)]]-PA_8[[#This Row],[Sunrise Time (POA&gt;20 W/m2)]])*24,"")</f>
        <v>11.466666666666667</v>
      </c>
      <c r="L121" s="149" t="s">
        <v>367</v>
      </c>
      <c r="M121" s="35" t="s">
        <v>348</v>
      </c>
      <c r="N121" s="35" t="s">
        <v>361</v>
      </c>
      <c r="O121" s="38" t="s">
        <v>370</v>
      </c>
      <c r="P121" s="35"/>
      <c r="Q121" s="35"/>
      <c r="R121" s="34">
        <f>IF((PA_8[[#This Row],[String Type(If String BD)]]&amp;PA_8[[#This Row],[Equipment (If any BD other than PV  array and inv)]])="",1,0)</f>
        <v>1</v>
      </c>
      <c r="S121" s="34">
        <f>IF(PA_8[[#This Row],[String Type(If String BD)]]="",1,0)</f>
        <v>1</v>
      </c>
      <c r="T1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1" s="37">
        <f>IFERROR(_xlfn.XLOOKUP(PA_8[[#This Row],[Affected Equipment ]],'Basic Data'!$P:$P,'Basic Data'!$S:$S),"")</f>
        <v>221.27</v>
      </c>
      <c r="V121" s="311">
        <f>IFERROR(_xlfn.XLOOKUP(PA_8[[#This Row],[Affected Equipment ]],'Basic Data'!$P:$P,'Basic Data'!$T:$T),"")</f>
        <v>1.7053827419305117E-3</v>
      </c>
      <c r="W121" s="333" t="s">
        <v>330</v>
      </c>
      <c r="X121" s="150" t="s">
        <v>1323</v>
      </c>
      <c r="Y121" s="150" t="s">
        <v>1323</v>
      </c>
      <c r="Z121" s="260">
        <v>0.27083333333333331</v>
      </c>
      <c r="AA121" s="39"/>
      <c r="AB121" s="40">
        <v>0.27083333333333331</v>
      </c>
      <c r="AC121" s="39">
        <v>0.77083333333333337</v>
      </c>
      <c r="AD121" s="41">
        <f>IF(PA_8[[#This Row],[Acknowledgement Time ]]="NA","",(PA_8[[#This Row],[Acknowledgement Time ]]-PA_8[[#This Row],[Fault Time]])*24)</f>
        <v>-6.5</v>
      </c>
      <c r="AE121" s="41">
        <f>IF(PA_8[[#This Row],[Work Start time on Fault]]="NA","",(PA_8[[#This Row],[Work Start time on Fault]]-PA_8[[#This Row],[Fault Time]])*24)</f>
        <v>0</v>
      </c>
      <c r="AF121" s="42" t="str">
        <f>IF(PA_8[[#This Row],[Status]]="Open","",(PA_8[[#This Row],[Work Completion time on fault]]-PA_8[[#This Row],[Fault Time]])*24)</f>
        <v/>
      </c>
      <c r="AG121" s="41">
        <f>IFERROR((PA_8[[#This Row],[Work Completion time on fault]]-PA_8[[#This Row],[Fault Time]])*24,"")</f>
        <v>12</v>
      </c>
      <c r="AH121" s="38" t="s">
        <v>1286</v>
      </c>
      <c r="AI121" s="149" t="s">
        <v>358</v>
      </c>
      <c r="AJ121" s="37">
        <f>IFERROR(PA_8[[#This Row],[Breakdown Time]]*PA_8[[#This Row],[Plant Equivalent Weightage]],"")</f>
        <v>2.0464592903166139E-2</v>
      </c>
      <c r="AK121" s="262">
        <v>1.32</v>
      </c>
      <c r="AL121" s="151">
        <f>U121*PA_8[[#This Row],[Lost PoA(Wh/m2)]]*85.3%</f>
        <v>249.14116920000004</v>
      </c>
      <c r="AM121" s="151"/>
    </row>
    <row r="122" spans="1:39">
      <c r="A122" s="147">
        <v>113</v>
      </c>
      <c r="B122" s="148">
        <v>45865</v>
      </c>
      <c r="C122" s="180">
        <f>YEAR(PA_8[[#This Row],[Date]])+IF(MONTH(PA_8[[#This Row],[Date]])&gt;=4,1,0)</f>
        <v>2026</v>
      </c>
      <c r="D122" s="34">
        <f>YEAR(PA_8[[#This Row],[Date]])</f>
        <v>2025</v>
      </c>
      <c r="E122" s="149" t="s">
        <v>324</v>
      </c>
      <c r="F122" s="149" t="s">
        <v>324</v>
      </c>
      <c r="G122" s="169">
        <f>PA_8[[#This Row],[Date]]-DAY(PA_8[[#This Row],[Date]])+1</f>
        <v>45839</v>
      </c>
      <c r="H122" s="34">
        <f>DAY(EOMONTH(PA_8[[#This Row],[Month Year]],0))</f>
        <v>31</v>
      </c>
      <c r="I122" s="36">
        <f>IFERROR(_xlfn.XLOOKUP(PA_8[[#This Row],[Date]],Input_Raw!$A:$A,Input_Raw!F:F),"")</f>
        <v>0.27083333333333331</v>
      </c>
      <c r="J122" s="36">
        <f>IFERROR(_xlfn.XLOOKUP(PA_8[[#This Row],[Date]],Input_Raw!$A:$A,Input_Raw!G:G),"")</f>
        <v>0.76388888888888884</v>
      </c>
      <c r="K122" s="37">
        <f>IFERROR((PA_8[[#This Row],[Sunset Time (POA&lt;20 W/m2)]]-PA_8[[#This Row],[Sunrise Time (POA&gt;20 W/m2)]])*24,"")</f>
        <v>11.833333333333332</v>
      </c>
      <c r="L122" s="149" t="s">
        <v>367</v>
      </c>
      <c r="M122" s="35" t="s">
        <v>348</v>
      </c>
      <c r="N122" s="35" t="s">
        <v>361</v>
      </c>
      <c r="O122" s="38" t="s">
        <v>370</v>
      </c>
      <c r="P122" s="35"/>
      <c r="Q122" s="35"/>
      <c r="R122" s="34">
        <f>IF((PA_8[[#This Row],[String Type(If String BD)]]&amp;PA_8[[#This Row],[Equipment (If any BD other than PV  array and inv)]])="",1,0)</f>
        <v>1</v>
      </c>
      <c r="S122" s="34">
        <f>IF(PA_8[[#This Row],[String Type(If String BD)]]="",1,0)</f>
        <v>1</v>
      </c>
      <c r="T1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2" s="37">
        <f>IFERROR(_xlfn.XLOOKUP(PA_8[[#This Row],[Affected Equipment ]],'Basic Data'!$P:$P,'Basic Data'!$S:$S),"")</f>
        <v>221.27</v>
      </c>
      <c r="V122" s="311">
        <f>IFERROR(_xlfn.XLOOKUP(PA_8[[#This Row],[Affected Equipment ]],'Basic Data'!$P:$P,'Basic Data'!$T:$T),"")</f>
        <v>1.7053827419305117E-3</v>
      </c>
      <c r="W122" s="333" t="s">
        <v>330</v>
      </c>
      <c r="X122" s="150" t="s">
        <v>1323</v>
      </c>
      <c r="Y122" s="150" t="s">
        <v>1323</v>
      </c>
      <c r="Z122" s="260">
        <v>0.27083333333333331</v>
      </c>
      <c r="AA122" s="39"/>
      <c r="AB122" s="40">
        <v>0.27083333333333331</v>
      </c>
      <c r="AC122" s="39">
        <v>0.77083333333333337</v>
      </c>
      <c r="AD122" s="41">
        <f>IF(PA_8[[#This Row],[Acknowledgement Time ]]="NA","",(PA_8[[#This Row],[Acknowledgement Time ]]-PA_8[[#This Row],[Fault Time]])*24)</f>
        <v>-6.5</v>
      </c>
      <c r="AE122" s="41">
        <f>IF(PA_8[[#This Row],[Work Start time on Fault]]="NA","",(PA_8[[#This Row],[Work Start time on Fault]]-PA_8[[#This Row],[Fault Time]])*24)</f>
        <v>0</v>
      </c>
      <c r="AF122" s="42" t="str">
        <f>IF(PA_8[[#This Row],[Status]]="Open","",(PA_8[[#This Row],[Work Completion time on fault]]-PA_8[[#This Row],[Fault Time]])*24)</f>
        <v/>
      </c>
      <c r="AG122" s="41">
        <f>IFERROR((PA_8[[#This Row],[Work Completion time on fault]]-PA_8[[#This Row],[Fault Time]])*24,"")</f>
        <v>12</v>
      </c>
      <c r="AH122" s="38" t="s">
        <v>1286</v>
      </c>
      <c r="AI122" s="149" t="s">
        <v>358</v>
      </c>
      <c r="AJ122" s="37">
        <f>IFERROR(PA_8[[#This Row],[Breakdown Time]]*PA_8[[#This Row],[Plant Equivalent Weightage]],"")</f>
        <v>2.0464592903166139E-2</v>
      </c>
      <c r="AK122" s="262">
        <v>2.73</v>
      </c>
      <c r="AL122" s="151">
        <f>U122*PA_8[[#This Row],[Lost PoA(Wh/m2)]]*85.3%</f>
        <v>515.26923629999999</v>
      </c>
      <c r="AM122" s="151"/>
    </row>
    <row r="123" spans="1:39">
      <c r="A123" s="147">
        <v>114</v>
      </c>
      <c r="B123" s="148">
        <v>45866</v>
      </c>
      <c r="C123" s="180">
        <f>YEAR(PA_8[[#This Row],[Date]])+IF(MONTH(PA_8[[#This Row],[Date]])&gt;=4,1,0)</f>
        <v>2026</v>
      </c>
      <c r="D123" s="34">
        <f>YEAR(PA_8[[#This Row],[Date]])</f>
        <v>2025</v>
      </c>
      <c r="E123" s="149" t="s">
        <v>324</v>
      </c>
      <c r="F123" s="149" t="s">
        <v>324</v>
      </c>
      <c r="G123" s="169">
        <f>PA_8[[#This Row],[Date]]-DAY(PA_8[[#This Row],[Date]])+1</f>
        <v>45839</v>
      </c>
      <c r="H123" s="34">
        <f>DAY(EOMONTH(PA_8[[#This Row],[Month Year]],0))</f>
        <v>31</v>
      </c>
      <c r="I123" s="36">
        <f>IFERROR(_xlfn.XLOOKUP(PA_8[[#This Row],[Date]],Input_Raw!$A:$A,Input_Raw!F:F),"")</f>
        <v>0.27361111111111114</v>
      </c>
      <c r="J123" s="36">
        <f>IFERROR(_xlfn.XLOOKUP(PA_8[[#This Row],[Date]],Input_Raw!$A:$A,Input_Raw!G:G),"")</f>
        <v>0.78125</v>
      </c>
      <c r="K123" s="37">
        <f>IFERROR((PA_8[[#This Row],[Sunset Time (POA&lt;20 W/m2)]]-PA_8[[#This Row],[Sunrise Time (POA&gt;20 W/m2)]])*24,"")</f>
        <v>12.183333333333334</v>
      </c>
      <c r="L123" s="149" t="s">
        <v>367</v>
      </c>
      <c r="M123" s="35" t="s">
        <v>348</v>
      </c>
      <c r="N123" s="35" t="s">
        <v>361</v>
      </c>
      <c r="O123" s="38" t="s">
        <v>370</v>
      </c>
      <c r="P123" s="35"/>
      <c r="Q123" s="35"/>
      <c r="R123" s="34">
        <f>IF((PA_8[[#This Row],[String Type(If String BD)]]&amp;PA_8[[#This Row],[Equipment (If any BD other than PV  array and inv)]])="",1,0)</f>
        <v>1</v>
      </c>
      <c r="S123" s="34">
        <f>IF(PA_8[[#This Row],[String Type(If String BD)]]="",1,0)</f>
        <v>1</v>
      </c>
      <c r="T1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3" s="37">
        <f>IFERROR(_xlfn.XLOOKUP(PA_8[[#This Row],[Affected Equipment ]],'Basic Data'!$P:$P,'Basic Data'!$S:$S),"")</f>
        <v>221.27</v>
      </c>
      <c r="V123" s="311">
        <f>IFERROR(_xlfn.XLOOKUP(PA_8[[#This Row],[Affected Equipment ]],'Basic Data'!$P:$P,'Basic Data'!$T:$T),"")</f>
        <v>1.7053827419305117E-3</v>
      </c>
      <c r="W123" s="333" t="s">
        <v>330</v>
      </c>
      <c r="X123" s="150" t="s">
        <v>1323</v>
      </c>
      <c r="Y123" s="150" t="s">
        <v>1323</v>
      </c>
      <c r="Z123" s="260">
        <v>0.27083333333333331</v>
      </c>
      <c r="AA123" s="39"/>
      <c r="AB123" s="40">
        <v>0.27083333333333331</v>
      </c>
      <c r="AC123" s="39">
        <v>0.77083333333333337</v>
      </c>
      <c r="AD123" s="41">
        <f>IF(PA_8[[#This Row],[Acknowledgement Time ]]="NA","",(PA_8[[#This Row],[Acknowledgement Time ]]-PA_8[[#This Row],[Fault Time]])*24)</f>
        <v>-6.5</v>
      </c>
      <c r="AE123" s="41">
        <f>IF(PA_8[[#This Row],[Work Start time on Fault]]="NA","",(PA_8[[#This Row],[Work Start time on Fault]]-PA_8[[#This Row],[Fault Time]])*24)</f>
        <v>0</v>
      </c>
      <c r="AF123" s="42" t="str">
        <f>IF(PA_8[[#This Row],[Status]]="Open","",(PA_8[[#This Row],[Work Completion time on fault]]-PA_8[[#This Row],[Fault Time]])*24)</f>
        <v/>
      </c>
      <c r="AG123" s="41">
        <f>IFERROR((PA_8[[#This Row],[Work Completion time on fault]]-PA_8[[#This Row],[Fault Time]])*24,"")</f>
        <v>12</v>
      </c>
      <c r="AH123" s="38" t="s">
        <v>1286</v>
      </c>
      <c r="AI123" s="149" t="s">
        <v>358</v>
      </c>
      <c r="AJ123" s="37">
        <f>IFERROR(PA_8[[#This Row],[Breakdown Time]]*PA_8[[#This Row],[Plant Equivalent Weightage]],"")</f>
        <v>2.0464592903166139E-2</v>
      </c>
      <c r="AK123" s="262">
        <v>2.5299999999999998</v>
      </c>
      <c r="AL123" s="151">
        <f>U123*PA_8[[#This Row],[Lost PoA(Wh/m2)]]*85.3%</f>
        <v>477.52057429999996</v>
      </c>
      <c r="AM123" s="151"/>
    </row>
    <row r="124" spans="1:39">
      <c r="A124" s="147">
        <v>115</v>
      </c>
      <c r="B124" s="148">
        <v>45867</v>
      </c>
      <c r="C124" s="180">
        <f>YEAR(PA_8[[#This Row],[Date]])+IF(MONTH(PA_8[[#This Row],[Date]])&gt;=4,1,0)</f>
        <v>2026</v>
      </c>
      <c r="D124" s="34">
        <f>YEAR(PA_8[[#This Row],[Date]])</f>
        <v>2025</v>
      </c>
      <c r="E124" s="149" t="s">
        <v>324</v>
      </c>
      <c r="F124" s="149" t="s">
        <v>324</v>
      </c>
      <c r="G124" s="169">
        <f>PA_8[[#This Row],[Date]]-DAY(PA_8[[#This Row],[Date]])+1</f>
        <v>45839</v>
      </c>
      <c r="H124" s="34">
        <f>DAY(EOMONTH(PA_8[[#This Row],[Month Year]],0))</f>
        <v>31</v>
      </c>
      <c r="I124" s="36">
        <f>IFERROR(_xlfn.XLOOKUP(PA_8[[#This Row],[Date]],Input_Raw!$A:$A,Input_Raw!F:F),"")</f>
        <v>0.3034722222222222</v>
      </c>
      <c r="J124" s="36">
        <f>IFERROR(_xlfn.XLOOKUP(PA_8[[#This Row],[Date]],Input_Raw!$A:$A,Input_Raw!G:G),"")</f>
        <v>0.77152777777777781</v>
      </c>
      <c r="K124" s="37">
        <f>IFERROR((PA_8[[#This Row],[Sunset Time (POA&lt;20 W/m2)]]-PA_8[[#This Row],[Sunrise Time (POA&gt;20 W/m2)]])*24,"")</f>
        <v>11.233333333333334</v>
      </c>
      <c r="L124" s="149" t="s">
        <v>367</v>
      </c>
      <c r="M124" s="35" t="s">
        <v>348</v>
      </c>
      <c r="N124" s="35" t="s">
        <v>361</v>
      </c>
      <c r="O124" s="38" t="s">
        <v>370</v>
      </c>
      <c r="P124" s="35"/>
      <c r="Q124" s="35"/>
      <c r="R124" s="34">
        <f>IF((PA_8[[#This Row],[String Type(If String BD)]]&amp;PA_8[[#This Row],[Equipment (If any BD other than PV  array and inv)]])="",1,0)</f>
        <v>1</v>
      </c>
      <c r="S124" s="34">
        <f>IF(PA_8[[#This Row],[String Type(If String BD)]]="",1,0)</f>
        <v>1</v>
      </c>
      <c r="T1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4" s="37">
        <f>IFERROR(_xlfn.XLOOKUP(PA_8[[#This Row],[Affected Equipment ]],'Basic Data'!$P:$P,'Basic Data'!$S:$S),"")</f>
        <v>221.27</v>
      </c>
      <c r="V124" s="311">
        <f>IFERROR(_xlfn.XLOOKUP(PA_8[[#This Row],[Affected Equipment ]],'Basic Data'!$P:$P,'Basic Data'!$T:$T),"")</f>
        <v>1.7053827419305117E-3</v>
      </c>
      <c r="W124" s="333" t="s">
        <v>330</v>
      </c>
      <c r="X124" s="150" t="s">
        <v>1323</v>
      </c>
      <c r="Y124" s="150" t="s">
        <v>1323</v>
      </c>
      <c r="Z124" s="260">
        <v>0.27083333333333331</v>
      </c>
      <c r="AA124" s="39"/>
      <c r="AB124" s="40">
        <v>0.27083333333333331</v>
      </c>
      <c r="AC124" s="39">
        <v>0.77083333333333337</v>
      </c>
      <c r="AD124" s="41">
        <f>IF(PA_8[[#This Row],[Acknowledgement Time ]]="NA","",(PA_8[[#This Row],[Acknowledgement Time ]]-PA_8[[#This Row],[Fault Time]])*24)</f>
        <v>-6.5</v>
      </c>
      <c r="AE124" s="41">
        <f>IF(PA_8[[#This Row],[Work Start time on Fault]]="NA","",(PA_8[[#This Row],[Work Start time on Fault]]-PA_8[[#This Row],[Fault Time]])*24)</f>
        <v>0</v>
      </c>
      <c r="AF124" s="42" t="str">
        <f>IF(PA_8[[#This Row],[Status]]="Open","",(PA_8[[#This Row],[Work Completion time on fault]]-PA_8[[#This Row],[Fault Time]])*24)</f>
        <v/>
      </c>
      <c r="AG124" s="41">
        <f>IFERROR((PA_8[[#This Row],[Work Completion time on fault]]-PA_8[[#This Row],[Fault Time]])*24,"")</f>
        <v>12</v>
      </c>
      <c r="AH124" s="38" t="s">
        <v>1286</v>
      </c>
      <c r="AI124" s="149" t="s">
        <v>358</v>
      </c>
      <c r="AJ124" s="37">
        <f>IFERROR(PA_8[[#This Row],[Breakdown Time]]*PA_8[[#This Row],[Plant Equivalent Weightage]],"")</f>
        <v>2.0464592903166139E-2</v>
      </c>
      <c r="AK124" s="262">
        <v>1.4</v>
      </c>
      <c r="AL124" s="151">
        <f>U124*PA_8[[#This Row],[Lost PoA(Wh/m2)]]*85.3%</f>
        <v>264.240634</v>
      </c>
      <c r="AM124" s="151"/>
    </row>
    <row r="125" spans="1:39">
      <c r="A125" s="147">
        <v>116</v>
      </c>
      <c r="B125" s="148">
        <v>45868</v>
      </c>
      <c r="C125" s="180">
        <f>YEAR(PA_8[[#This Row],[Date]])+IF(MONTH(PA_8[[#This Row],[Date]])&gt;=4,1,0)</f>
        <v>2026</v>
      </c>
      <c r="D125" s="34">
        <f>YEAR(PA_8[[#This Row],[Date]])</f>
        <v>2025</v>
      </c>
      <c r="E125" s="149" t="s">
        <v>324</v>
      </c>
      <c r="F125" s="149" t="s">
        <v>324</v>
      </c>
      <c r="G125" s="169">
        <f>PA_8[[#This Row],[Date]]-DAY(PA_8[[#This Row],[Date]])+1</f>
        <v>45839</v>
      </c>
      <c r="H125" s="34">
        <f>DAY(EOMONTH(PA_8[[#This Row],[Month Year]],0))</f>
        <v>31</v>
      </c>
      <c r="I125" s="36">
        <f>IFERROR(_xlfn.XLOOKUP(PA_8[[#This Row],[Date]],Input_Raw!$A:$A,Input_Raw!F:F),"")</f>
        <v>0.28680555555555554</v>
      </c>
      <c r="J125" s="36">
        <f>IFERROR(_xlfn.XLOOKUP(PA_8[[#This Row],[Date]],Input_Raw!$A:$A,Input_Raw!G:G),"")</f>
        <v>0.77777777777777779</v>
      </c>
      <c r="K125" s="37">
        <f>IFERROR((PA_8[[#This Row],[Sunset Time (POA&lt;20 W/m2)]]-PA_8[[#This Row],[Sunrise Time (POA&gt;20 W/m2)]])*24,"")</f>
        <v>11.783333333333335</v>
      </c>
      <c r="L125" s="149" t="s">
        <v>367</v>
      </c>
      <c r="M125" s="35" t="s">
        <v>348</v>
      </c>
      <c r="N125" s="35" t="s">
        <v>361</v>
      </c>
      <c r="O125" s="38" t="s">
        <v>370</v>
      </c>
      <c r="P125" s="35"/>
      <c r="Q125" s="35"/>
      <c r="R125" s="34">
        <f>IF((PA_8[[#This Row],[String Type(If String BD)]]&amp;PA_8[[#This Row],[Equipment (If any BD other than PV  array and inv)]])="",1,0)</f>
        <v>1</v>
      </c>
      <c r="S125" s="34">
        <f>IF(PA_8[[#This Row],[String Type(If String BD)]]="",1,0)</f>
        <v>1</v>
      </c>
      <c r="T1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5" s="37">
        <f>IFERROR(_xlfn.XLOOKUP(PA_8[[#This Row],[Affected Equipment ]],'Basic Data'!$P:$P,'Basic Data'!$S:$S),"")</f>
        <v>221.27</v>
      </c>
      <c r="V125" s="311">
        <f>IFERROR(_xlfn.XLOOKUP(PA_8[[#This Row],[Affected Equipment ]],'Basic Data'!$P:$P,'Basic Data'!$T:$T),"")</f>
        <v>1.7053827419305117E-3</v>
      </c>
      <c r="W125" s="333" t="s">
        <v>330</v>
      </c>
      <c r="X125" s="150" t="s">
        <v>1323</v>
      </c>
      <c r="Y125" s="150" t="s">
        <v>1323</v>
      </c>
      <c r="Z125" s="260">
        <v>0.27083333333333331</v>
      </c>
      <c r="AA125" s="39"/>
      <c r="AB125" s="40">
        <v>0.27083333333333331</v>
      </c>
      <c r="AC125" s="39">
        <v>0.77083333333333337</v>
      </c>
      <c r="AD125" s="41">
        <f>IF(PA_8[[#This Row],[Acknowledgement Time ]]="NA","",(PA_8[[#This Row],[Acknowledgement Time ]]-PA_8[[#This Row],[Fault Time]])*24)</f>
        <v>-6.5</v>
      </c>
      <c r="AE125" s="41">
        <f>IF(PA_8[[#This Row],[Work Start time on Fault]]="NA","",(PA_8[[#This Row],[Work Start time on Fault]]-PA_8[[#This Row],[Fault Time]])*24)</f>
        <v>0</v>
      </c>
      <c r="AF125" s="42" t="str">
        <f>IF(PA_8[[#This Row],[Status]]="Open","",(PA_8[[#This Row],[Work Completion time on fault]]-PA_8[[#This Row],[Fault Time]])*24)</f>
        <v/>
      </c>
      <c r="AG125" s="41">
        <f>IFERROR((PA_8[[#This Row],[Work Completion time on fault]]-PA_8[[#This Row],[Fault Time]])*24,"")</f>
        <v>12</v>
      </c>
      <c r="AH125" s="38" t="s">
        <v>1286</v>
      </c>
      <c r="AI125" s="149" t="s">
        <v>358</v>
      </c>
      <c r="AJ125" s="37">
        <f>IFERROR(PA_8[[#This Row],[Breakdown Time]]*PA_8[[#This Row],[Plant Equivalent Weightage]],"")</f>
        <v>2.0464592903166139E-2</v>
      </c>
      <c r="AK125" s="262">
        <v>3.83</v>
      </c>
      <c r="AL125" s="151">
        <f>U125*PA_8[[#This Row],[Lost PoA(Wh/m2)]]*85.3%</f>
        <v>722.88687730000004</v>
      </c>
      <c r="AM125" s="151"/>
    </row>
    <row r="126" spans="1:39">
      <c r="A126" s="147">
        <v>117</v>
      </c>
      <c r="B126" s="148"/>
      <c r="C126" s="180">
        <f>YEAR(PA_8[[#This Row],[Date]])+IF(MONTH(PA_8[[#This Row],[Date]])&gt;=4,1,0)</f>
        <v>1900</v>
      </c>
      <c r="D126" s="34">
        <f>YEAR(PA_8[[#This Row],[Date]])</f>
        <v>1900</v>
      </c>
      <c r="E126" s="149"/>
      <c r="F126" s="149"/>
      <c r="G126" s="169">
        <f>PA_8[[#This Row],[Date]]-DAY(PA_8[[#This Row],[Date]])+1</f>
        <v>1</v>
      </c>
      <c r="H126" s="34">
        <f>DAY(EOMONTH(PA_8[[#This Row],[Month Year]],0))</f>
        <v>31</v>
      </c>
      <c r="I126" s="36">
        <f>IFERROR(_xlfn.XLOOKUP(PA_8[[#This Row],[Date]],Input_Raw!$A:$A,Input_Raw!F:F),"")</f>
        <v>0</v>
      </c>
      <c r="J126" s="36">
        <f>IFERROR(_xlfn.XLOOKUP(PA_8[[#This Row],[Date]],Input_Raw!$A:$A,Input_Raw!G:G),"")</f>
        <v>0</v>
      </c>
      <c r="K126" s="37">
        <f>IFERROR((PA_8[[#This Row],[Sunset Time (POA&lt;20 W/m2)]]-PA_8[[#This Row],[Sunrise Time (POA&gt;20 W/m2)]])*24,"")</f>
        <v>0</v>
      </c>
      <c r="L126" s="149"/>
      <c r="M126" s="35"/>
      <c r="N126" s="35"/>
      <c r="O126" s="38"/>
      <c r="P126" s="35"/>
      <c r="Q126" s="35"/>
      <c r="R126" s="34">
        <f>IF((PA_8[[#This Row],[String Type(If String BD)]]&amp;PA_8[[#This Row],[Equipment (If any BD other than PV  array and inv)]])="",1,0)</f>
        <v>1</v>
      </c>
      <c r="S126" s="34">
        <f>IF(PA_8[[#This Row],[String Type(If String BD)]]="",1,0)</f>
        <v>1</v>
      </c>
      <c r="T1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6" s="37" t="str">
        <f>IFERROR(_xlfn.XLOOKUP(PA_8[[#This Row],[Affected Equipment ]],'Basic Data'!$P:$P,'Basic Data'!$S:$S),"")</f>
        <v/>
      </c>
      <c r="V126" s="311" t="str">
        <f>IFERROR(_xlfn.XLOOKUP(PA_8[[#This Row],[Affected Equipment ]],'Basic Data'!$P:$P,'Basic Data'!$T:$T),"")</f>
        <v/>
      </c>
      <c r="W126" s="333"/>
      <c r="X126" s="150"/>
      <c r="Y126" s="150"/>
      <c r="Z126" s="260"/>
      <c r="AA126" s="39"/>
      <c r="AB126" s="40"/>
      <c r="AC126" s="39"/>
      <c r="AD126" s="41">
        <f>IF(PA_8[[#This Row],[Acknowledgement Time ]]="NA","",(PA_8[[#This Row],[Acknowledgement Time ]]-PA_8[[#This Row],[Fault Time]])*24)</f>
        <v>0</v>
      </c>
      <c r="AE126" s="41">
        <f>IF(PA_8[[#This Row],[Work Start time on Fault]]="NA","",(PA_8[[#This Row],[Work Start time on Fault]]-PA_8[[#This Row],[Fault Time]])*24)</f>
        <v>0</v>
      </c>
      <c r="AF126" s="42">
        <f>IF(PA_8[[#This Row],[Status]]="Open","",(PA_8[[#This Row],[Work Completion time on fault]]-PA_8[[#This Row],[Fault Time]])*24)</f>
        <v>0</v>
      </c>
      <c r="AG126" s="41">
        <f>IFERROR((PA_8[[#This Row],[Work Completion time on fault]]-PA_8[[#This Row],[Fault Time]])*24,"")</f>
        <v>0</v>
      </c>
      <c r="AH126" s="38"/>
      <c r="AI126" s="149"/>
      <c r="AJ126" s="37" t="str">
        <f>IFERROR(PA_8[[#This Row],[Breakdown Time]]*PA_8[[#This Row],[Plant Equivalent Weightage]],"")</f>
        <v/>
      </c>
      <c r="AK126" s="262"/>
      <c r="AL126" s="151" t="e">
        <f>U126*PA_8[[#This Row],[Lost PoA(Wh/m2)]]*85.3%</f>
        <v>#VALUE!</v>
      </c>
      <c r="AM126" s="151"/>
    </row>
    <row r="127" spans="1:39">
      <c r="A127" s="147">
        <v>118</v>
      </c>
      <c r="B127" s="148"/>
      <c r="C127" s="180">
        <f>YEAR(PA_8[[#This Row],[Date]])+IF(MONTH(PA_8[[#This Row],[Date]])&gt;=4,1,0)</f>
        <v>1900</v>
      </c>
      <c r="D127" s="34">
        <f>YEAR(PA_8[[#This Row],[Date]])</f>
        <v>1900</v>
      </c>
      <c r="E127" s="149"/>
      <c r="F127" s="149"/>
      <c r="G127" s="169">
        <f>PA_8[[#This Row],[Date]]-DAY(PA_8[[#This Row],[Date]])+1</f>
        <v>1</v>
      </c>
      <c r="H127" s="34">
        <f>DAY(EOMONTH(PA_8[[#This Row],[Month Year]],0))</f>
        <v>31</v>
      </c>
      <c r="I127" s="36">
        <f>IFERROR(_xlfn.XLOOKUP(PA_8[[#This Row],[Date]],Input_Raw!$A:$A,Input_Raw!F:F),"")</f>
        <v>0</v>
      </c>
      <c r="J127" s="36">
        <f>IFERROR(_xlfn.XLOOKUP(PA_8[[#This Row],[Date]],Input_Raw!$A:$A,Input_Raw!G:G),"")</f>
        <v>0</v>
      </c>
      <c r="K127" s="37">
        <f>IFERROR((PA_8[[#This Row],[Sunset Time (POA&lt;20 W/m2)]]-PA_8[[#This Row],[Sunrise Time (POA&gt;20 W/m2)]])*24,"")</f>
        <v>0</v>
      </c>
      <c r="L127" s="149"/>
      <c r="M127" s="35"/>
      <c r="N127" s="35"/>
      <c r="O127" s="38"/>
      <c r="P127" s="35"/>
      <c r="Q127" s="35"/>
      <c r="R127" s="34">
        <f>IF((PA_8[[#This Row],[String Type(If String BD)]]&amp;PA_8[[#This Row],[Equipment (If any BD other than PV  array and inv)]])="",1,0)</f>
        <v>1</v>
      </c>
      <c r="S127" s="34">
        <f>IF(PA_8[[#This Row],[String Type(If String BD)]]="",1,0)</f>
        <v>1</v>
      </c>
      <c r="T1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7" s="37" t="str">
        <f>IFERROR(_xlfn.XLOOKUP(PA_8[[#This Row],[Affected Equipment ]],'Basic Data'!$P:$P,'Basic Data'!$S:$S),"")</f>
        <v/>
      </c>
      <c r="V127" s="311" t="str">
        <f>IFERROR(_xlfn.XLOOKUP(PA_8[[#This Row],[Affected Equipment ]],'Basic Data'!$P:$P,'Basic Data'!$T:$T),"")</f>
        <v/>
      </c>
      <c r="W127" s="333"/>
      <c r="X127" s="150"/>
      <c r="Y127" s="150"/>
      <c r="Z127" s="260"/>
      <c r="AA127" s="39"/>
      <c r="AB127" s="40"/>
      <c r="AC127" s="39"/>
      <c r="AD127" s="41">
        <f>IF(PA_8[[#This Row],[Acknowledgement Time ]]="NA","",(PA_8[[#This Row],[Acknowledgement Time ]]-PA_8[[#This Row],[Fault Time]])*24)</f>
        <v>0</v>
      </c>
      <c r="AE127" s="41">
        <f>IF(PA_8[[#This Row],[Work Start time on Fault]]="NA","",(PA_8[[#This Row],[Work Start time on Fault]]-PA_8[[#This Row],[Fault Time]])*24)</f>
        <v>0</v>
      </c>
      <c r="AF127" s="42">
        <f>IF(PA_8[[#This Row],[Status]]="Open","",(PA_8[[#This Row],[Work Completion time on fault]]-PA_8[[#This Row],[Fault Time]])*24)</f>
        <v>0</v>
      </c>
      <c r="AG127" s="41">
        <f>IFERROR((PA_8[[#This Row],[Work Completion time on fault]]-PA_8[[#This Row],[Fault Time]])*24,"")</f>
        <v>0</v>
      </c>
      <c r="AH127" s="38"/>
      <c r="AI127" s="149"/>
      <c r="AJ127" s="37" t="str">
        <f>IFERROR(PA_8[[#This Row],[Breakdown Time]]*PA_8[[#This Row],[Plant Equivalent Weightage]],"")</f>
        <v/>
      </c>
      <c r="AK127" s="262"/>
      <c r="AL127" s="151" t="e">
        <f>U127*PA_8[[#This Row],[Lost PoA(Wh/m2)]]*85.3%</f>
        <v>#VALUE!</v>
      </c>
      <c r="AM127" s="151"/>
    </row>
    <row r="128" spans="1:39">
      <c r="A128" s="147">
        <v>119</v>
      </c>
      <c r="B128" s="148"/>
      <c r="C128" s="180">
        <f>YEAR(PA_8[[#This Row],[Date]])+IF(MONTH(PA_8[[#This Row],[Date]])&gt;=4,1,0)</f>
        <v>1900</v>
      </c>
      <c r="D128" s="34">
        <f>YEAR(PA_8[[#This Row],[Date]])</f>
        <v>1900</v>
      </c>
      <c r="E128" s="149"/>
      <c r="F128" s="149"/>
      <c r="G128" s="169">
        <f>PA_8[[#This Row],[Date]]-DAY(PA_8[[#This Row],[Date]])+1</f>
        <v>1</v>
      </c>
      <c r="H128" s="34">
        <f>DAY(EOMONTH(PA_8[[#This Row],[Month Year]],0))</f>
        <v>31</v>
      </c>
      <c r="I128" s="36">
        <f>IFERROR(_xlfn.XLOOKUP(PA_8[[#This Row],[Date]],Input_Raw!$A:$A,Input_Raw!F:F),"")</f>
        <v>0</v>
      </c>
      <c r="J128" s="36">
        <f>IFERROR(_xlfn.XLOOKUP(PA_8[[#This Row],[Date]],Input_Raw!$A:$A,Input_Raw!G:G),"")</f>
        <v>0</v>
      </c>
      <c r="K128" s="37">
        <f>IFERROR((PA_8[[#This Row],[Sunset Time (POA&lt;20 W/m2)]]-PA_8[[#This Row],[Sunrise Time (POA&gt;20 W/m2)]])*24,"")</f>
        <v>0</v>
      </c>
      <c r="L128" s="149"/>
      <c r="M128" s="35"/>
      <c r="N128" s="35"/>
      <c r="O128" s="38"/>
      <c r="P128" s="35"/>
      <c r="Q128" s="35"/>
      <c r="R128" s="34">
        <f>IF((PA_8[[#This Row],[String Type(If String BD)]]&amp;PA_8[[#This Row],[Equipment (If any BD other than PV  array and inv)]])="",1,0)</f>
        <v>1</v>
      </c>
      <c r="S128" s="34">
        <f>IF(PA_8[[#This Row],[String Type(If String BD)]]="",1,0)</f>
        <v>1</v>
      </c>
      <c r="T1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8" s="37" t="str">
        <f>IFERROR(_xlfn.XLOOKUP(PA_8[[#This Row],[Affected Equipment ]],'Basic Data'!$P:$P,'Basic Data'!$S:$S),"")</f>
        <v/>
      </c>
      <c r="V128" s="311" t="str">
        <f>IFERROR(_xlfn.XLOOKUP(PA_8[[#This Row],[Affected Equipment ]],'Basic Data'!$P:$P,'Basic Data'!$T:$T),"")</f>
        <v/>
      </c>
      <c r="W128" s="327"/>
      <c r="X128" s="150"/>
      <c r="Y128" s="150"/>
      <c r="Z128" s="260"/>
      <c r="AA128" s="39"/>
      <c r="AB128" s="40"/>
      <c r="AC128" s="39"/>
      <c r="AD128" s="41">
        <f>IF(PA_8[[#This Row],[Acknowledgement Time ]]="NA","",(PA_8[[#This Row],[Acknowledgement Time ]]-PA_8[[#This Row],[Fault Time]])*24)</f>
        <v>0</v>
      </c>
      <c r="AE128" s="41">
        <f>IF(PA_8[[#This Row],[Work Start time on Fault]]="NA","",(PA_8[[#This Row],[Work Start time on Fault]]-PA_8[[#This Row],[Fault Time]])*24)</f>
        <v>0</v>
      </c>
      <c r="AF128" s="42">
        <f>IF(PA_8[[#This Row],[Status]]="Open","",(PA_8[[#This Row],[Work Completion time on fault]]-PA_8[[#This Row],[Fault Time]])*24)</f>
        <v>0</v>
      </c>
      <c r="AG128" s="41">
        <f>IFERROR((PA_8[[#This Row],[Work Completion time on fault]]-PA_8[[#This Row],[Fault Time]])*24,"")</f>
        <v>0</v>
      </c>
      <c r="AH128" s="38"/>
      <c r="AI128" s="149"/>
      <c r="AJ128" s="37" t="str">
        <f>IFERROR(PA_8[[#This Row],[Breakdown Time]]*PA_8[[#This Row],[Plant Equivalent Weightage]],"")</f>
        <v/>
      </c>
      <c r="AK128" s="262"/>
      <c r="AL128" s="151" t="e">
        <f>U128*PA_8[[#This Row],[Lost PoA(Wh/m2)]]*85.3%</f>
        <v>#VALUE!</v>
      </c>
      <c r="AM128" s="151"/>
    </row>
    <row r="129" spans="1:39">
      <c r="A129" s="147">
        <v>120</v>
      </c>
      <c r="B129" s="148"/>
      <c r="C129" s="180">
        <f>YEAR(PA_8[[#This Row],[Date]])+IF(MONTH(PA_8[[#This Row],[Date]])&gt;=4,1,0)</f>
        <v>1900</v>
      </c>
      <c r="D129" s="34">
        <f>YEAR(PA_8[[#This Row],[Date]])</f>
        <v>1900</v>
      </c>
      <c r="E129" s="149"/>
      <c r="F129" s="149"/>
      <c r="G129" s="169">
        <f>PA_8[[#This Row],[Date]]-DAY(PA_8[[#This Row],[Date]])+1</f>
        <v>1</v>
      </c>
      <c r="H129" s="34">
        <f>DAY(EOMONTH(PA_8[[#This Row],[Month Year]],0))</f>
        <v>31</v>
      </c>
      <c r="I129" s="36">
        <f>IFERROR(_xlfn.XLOOKUP(PA_8[[#This Row],[Date]],Input_Raw!$A:$A,Input_Raw!F:F),"")</f>
        <v>0</v>
      </c>
      <c r="J129" s="36">
        <f>IFERROR(_xlfn.XLOOKUP(PA_8[[#This Row],[Date]],Input_Raw!$A:$A,Input_Raw!G:G),"")</f>
        <v>0</v>
      </c>
      <c r="K129" s="37">
        <f>IFERROR((PA_8[[#This Row],[Sunset Time (POA&lt;20 W/m2)]]-PA_8[[#This Row],[Sunrise Time (POA&gt;20 W/m2)]])*24,"")</f>
        <v>0</v>
      </c>
      <c r="L129" s="149"/>
      <c r="M129" s="35"/>
      <c r="N129" s="35"/>
      <c r="O129" s="38"/>
      <c r="P129" s="35"/>
      <c r="Q129" s="35"/>
      <c r="R129" s="34">
        <f>IF((PA_8[[#This Row],[String Type(If String BD)]]&amp;PA_8[[#This Row],[Equipment (If any BD other than PV  array and inv)]])="",1,0)</f>
        <v>1</v>
      </c>
      <c r="S129" s="34">
        <f>IF(PA_8[[#This Row],[String Type(If String BD)]]="",1,0)</f>
        <v>1</v>
      </c>
      <c r="T1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9" s="37" t="str">
        <f>IFERROR(_xlfn.XLOOKUP(PA_8[[#This Row],[Affected Equipment ]],'Basic Data'!$P:$P,'Basic Data'!$S:$S),"")</f>
        <v/>
      </c>
      <c r="V129" s="311" t="str">
        <f>IFERROR(_xlfn.XLOOKUP(PA_8[[#This Row],[Affected Equipment ]],'Basic Data'!$P:$P,'Basic Data'!$T:$T),"")</f>
        <v/>
      </c>
      <c r="W129" s="293"/>
      <c r="X129" s="150"/>
      <c r="Y129" s="150"/>
      <c r="Z129" s="260"/>
      <c r="AA129" s="39"/>
      <c r="AB129" s="40"/>
      <c r="AC129" s="39"/>
      <c r="AD129" s="41">
        <f>IF(PA_8[[#This Row],[Acknowledgement Time ]]="NA","",(PA_8[[#This Row],[Acknowledgement Time ]]-PA_8[[#This Row],[Fault Time]])*24)</f>
        <v>0</v>
      </c>
      <c r="AE129" s="41">
        <f>IF(PA_8[[#This Row],[Work Start time on Fault]]="NA","",(PA_8[[#This Row],[Work Start time on Fault]]-PA_8[[#This Row],[Fault Time]])*24)</f>
        <v>0</v>
      </c>
      <c r="AF129" s="42">
        <f>IF(PA_8[[#This Row],[Status]]="Open","",(PA_8[[#This Row],[Work Completion time on fault]]-PA_8[[#This Row],[Fault Time]])*24)</f>
        <v>0</v>
      </c>
      <c r="AG129" s="41">
        <f>IFERROR((PA_8[[#This Row],[Work Completion time on fault]]-PA_8[[#This Row],[Fault Time]])*24,"")</f>
        <v>0</v>
      </c>
      <c r="AH129" s="38"/>
      <c r="AI129" s="149"/>
      <c r="AJ129" s="37" t="str">
        <f>IFERROR(PA_8[[#This Row],[Breakdown Time]]*PA_8[[#This Row],[Plant Equivalent Weightage]],"")</f>
        <v/>
      </c>
      <c r="AK129" s="262"/>
      <c r="AL129" s="151" t="e">
        <f>U129*PA_8[[#This Row],[Lost PoA(Wh/m2)]]*85.3%</f>
        <v>#VALUE!</v>
      </c>
      <c r="AM129" s="151"/>
    </row>
    <row r="130" spans="1:39">
      <c r="A130" s="147">
        <v>121</v>
      </c>
      <c r="B130" s="148"/>
      <c r="C130" s="180">
        <f>YEAR(PA_8[[#This Row],[Date]])+IF(MONTH(PA_8[[#This Row],[Date]])&gt;=4,1,0)</f>
        <v>1900</v>
      </c>
      <c r="D130" s="34">
        <f>YEAR(PA_8[[#This Row],[Date]])</f>
        <v>1900</v>
      </c>
      <c r="E130" s="149"/>
      <c r="F130" s="149"/>
      <c r="G130" s="169">
        <f>PA_8[[#This Row],[Date]]-DAY(PA_8[[#This Row],[Date]])+1</f>
        <v>1</v>
      </c>
      <c r="H130" s="34">
        <f>DAY(EOMONTH(PA_8[[#This Row],[Month Year]],0))</f>
        <v>31</v>
      </c>
      <c r="I130" s="36">
        <f>IFERROR(_xlfn.XLOOKUP(PA_8[[#This Row],[Date]],Input_Raw!$A:$A,Input_Raw!F:F),"")</f>
        <v>0</v>
      </c>
      <c r="J130" s="36">
        <f>IFERROR(_xlfn.XLOOKUP(PA_8[[#This Row],[Date]],Input_Raw!$A:$A,Input_Raw!G:G),"")</f>
        <v>0</v>
      </c>
      <c r="K130" s="37">
        <f>IFERROR((PA_8[[#This Row],[Sunset Time (POA&lt;20 W/m2)]]-PA_8[[#This Row],[Sunrise Time (POA&gt;20 W/m2)]])*24,"")</f>
        <v>0</v>
      </c>
      <c r="L130" s="149"/>
      <c r="M130" s="35"/>
      <c r="N130" s="35"/>
      <c r="O130" s="38"/>
      <c r="P130" s="35"/>
      <c r="Q130" s="35"/>
      <c r="R130" s="34">
        <f>IF((PA_8[[#This Row],[String Type(If String BD)]]&amp;PA_8[[#This Row],[Equipment (If any BD other than PV  array and inv)]])="",1,0)</f>
        <v>1</v>
      </c>
      <c r="S130" s="34">
        <f>IF(PA_8[[#This Row],[String Type(If String BD)]]="",1,0)</f>
        <v>1</v>
      </c>
      <c r="T1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0" s="37" t="str">
        <f>IFERROR(_xlfn.XLOOKUP(PA_8[[#This Row],[Affected Equipment ]],'Basic Data'!$P:$P,'Basic Data'!$S:$S),"")</f>
        <v/>
      </c>
      <c r="V130" s="311" t="str">
        <f>IFERROR(_xlfn.XLOOKUP(PA_8[[#This Row],[Affected Equipment ]],'Basic Data'!$P:$P,'Basic Data'!$T:$T),"")</f>
        <v/>
      </c>
      <c r="W130" s="293"/>
      <c r="X130" s="150"/>
      <c r="Y130" s="150"/>
      <c r="Z130" s="260"/>
      <c r="AA130" s="39"/>
      <c r="AB130" s="40"/>
      <c r="AC130" s="39"/>
      <c r="AD130" s="41">
        <f>IF(PA_8[[#This Row],[Acknowledgement Time ]]="NA","",(PA_8[[#This Row],[Acknowledgement Time ]]-PA_8[[#This Row],[Fault Time]])*24)</f>
        <v>0</v>
      </c>
      <c r="AE130" s="41">
        <f>IF(PA_8[[#This Row],[Work Start time on Fault]]="NA","",(PA_8[[#This Row],[Work Start time on Fault]]-PA_8[[#This Row],[Fault Time]])*24)</f>
        <v>0</v>
      </c>
      <c r="AF130" s="42">
        <f>IF(PA_8[[#This Row],[Status]]="Open","",(PA_8[[#This Row],[Work Completion time on fault]]-PA_8[[#This Row],[Fault Time]])*24)</f>
        <v>0</v>
      </c>
      <c r="AG130" s="41">
        <f>IFERROR((PA_8[[#This Row],[Work Completion time on fault]]-PA_8[[#This Row],[Fault Time]])*24,"")</f>
        <v>0</v>
      </c>
      <c r="AH130" s="38"/>
      <c r="AI130" s="149"/>
      <c r="AJ130" s="37" t="str">
        <f>IFERROR(PA_8[[#This Row],[Breakdown Time]]*PA_8[[#This Row],[Plant Equivalent Weightage]],"")</f>
        <v/>
      </c>
      <c r="AK130" s="262"/>
      <c r="AL130" s="151"/>
      <c r="AM130" s="151"/>
    </row>
  </sheetData>
  <phoneticPr fontId="76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1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T2" sqref="T2"/>
    </sheetView>
  </sheetViews>
  <sheetFormatPr defaultColWidth="8.85546875" defaultRowHeight="15"/>
  <cols>
    <col min="1" max="1" width="10.140625" customWidth="1"/>
    <col min="2" max="2" width="9.85546875" customWidth="1"/>
    <col min="3" max="3" width="12.140625" customWidth="1"/>
    <col min="4" max="4" width="12.85546875" customWidth="1"/>
    <col min="5" max="5" width="13.85546875" customWidth="1"/>
    <col min="6" max="6" width="8.85546875" style="5"/>
    <col min="7" max="8" width="10.140625" style="5" customWidth="1"/>
    <col min="9" max="9" width="10.140625" customWidth="1"/>
    <col min="10" max="10" width="32.85546875" customWidth="1"/>
    <col min="11" max="11" width="10.140625" customWidth="1"/>
    <col min="12" max="12" width="12.140625" customWidth="1"/>
    <col min="13" max="13" width="13" bestFit="1" customWidth="1"/>
    <col min="14" max="14" width="13.85546875" bestFit="1" customWidth="1"/>
    <col min="15" max="15" width="16.140625" bestFit="1" customWidth="1"/>
    <col min="16" max="17" width="12.140625" bestFit="1" customWidth="1"/>
    <col min="18" max="18" width="25.140625" customWidth="1"/>
    <col min="19" max="19" width="10.140625" bestFit="1" customWidth="1"/>
    <col min="20" max="21" width="13.85546875" customWidth="1"/>
    <col min="22" max="22" width="11.140625" style="15" customWidth="1"/>
    <col min="23" max="23" width="13.140625" bestFit="1" customWidth="1"/>
    <col min="24" max="25" width="13.85546875" bestFit="1" customWidth="1"/>
    <col min="31" max="31" width="22.1406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1134</v>
      </c>
      <c r="H1" s="16" t="s">
        <v>1135</v>
      </c>
      <c r="I1" s="16" t="s">
        <v>311</v>
      </c>
      <c r="J1" s="123" t="s">
        <v>312</v>
      </c>
      <c r="K1" s="16" t="s">
        <v>1136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1137</v>
      </c>
      <c r="V1" s="24" t="s">
        <v>323</v>
      </c>
      <c r="W1" s="24" t="s">
        <v>1138</v>
      </c>
      <c r="X1" s="24" t="s">
        <v>1139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356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76">
        <v>1</v>
      </c>
      <c r="J2" s="259" t="s">
        <v>295</v>
      </c>
      <c r="L2" s="277">
        <v>0.43958333333333333</v>
      </c>
      <c r="M2" s="277">
        <v>0.43958333333333333</v>
      </c>
      <c r="N2" s="277">
        <v>0.62222222222222223</v>
      </c>
      <c r="O2" s="278">
        <f>(Grid_BD[[#This Row],[Work Start TimeStamp]]-Grid_BD[[#This Row],[Fault Start TimeStamp]])*24</f>
        <v>0</v>
      </c>
      <c r="P2" s="278">
        <f>(Grid_BD[[#This Row],[Fault Clearance time]]-Grid_BD[[#This Row],[Work Start TimeStamp]])*24</f>
        <v>4.3833333333333337</v>
      </c>
      <c r="Q2" s="278">
        <f>(Grid_BD[[#This Row],[Fault Clearance time]]-Grid_BD[[#This Row],[Fault Start TimeStamp]])*24</f>
        <v>4.3833333333333337</v>
      </c>
      <c r="R2" s="279" t="s">
        <v>1140</v>
      </c>
      <c r="S2" s="5"/>
      <c r="T2" s="280">
        <f>IFERROR(Grid_BD[[#This Row],[Breakdown Time]]*Grid_BD[[#This Row],[Plant Equivalent Weightage]],"")</f>
        <v>4.3833333333333337</v>
      </c>
      <c r="U2" s="280">
        <v>3.82</v>
      </c>
      <c r="V2" s="281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82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1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356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76">
        <v>1</v>
      </c>
      <c r="J3" s="259" t="s">
        <v>1242</v>
      </c>
      <c r="L3" s="277">
        <v>0.46944444444444444</v>
      </c>
      <c r="M3" s="277">
        <v>0.46944444444444444</v>
      </c>
      <c r="N3" s="277">
        <v>0.82708333333333328</v>
      </c>
      <c r="O3" s="278">
        <f>(Grid_BD[[#This Row],[Work Start TimeStamp]]-Grid_BD[[#This Row],[Fault Start TimeStamp]])*24</f>
        <v>0</v>
      </c>
      <c r="P3" s="278">
        <f>(Grid_BD[[#This Row],[Fault Clearance time]]-Grid_BD[[#This Row],[Work Start TimeStamp]])*24</f>
        <v>8.5833333333333321</v>
      </c>
      <c r="Q3" s="278">
        <f>(Grid_BD[[#This Row],[Fault Clearance time]]-Grid_BD[[#This Row],[Fault Start TimeStamp]])*24</f>
        <v>8.5833333333333321</v>
      </c>
      <c r="R3" s="259" t="s">
        <v>1332</v>
      </c>
      <c r="S3" s="5"/>
      <c r="T3" s="280">
        <f>IFERROR(Grid_BD[[#This Row],[Breakdown Time]]*Grid_BD[[#This Row],[Plant Equivalent Weightage]],"")</f>
        <v>8.5833333333333321</v>
      </c>
      <c r="U3" s="280">
        <v>1.02</v>
      </c>
      <c r="V3" s="281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82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356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356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356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356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356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356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356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</sheetData>
  <phoneticPr fontId="107" type="noConversion"/>
  <dataValidations count="1">
    <dataValidation type="decimal" allowBlank="1" showInputMessage="1" showErrorMessage="1" sqref="W2:W11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S2:S11 K2:K11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39" width="13.140625" customWidth="1"/>
    <col min="40" max="40" width="11.140625" style="5" customWidth="1"/>
    <col min="41" max="46" width="13.140625" customWidth="1"/>
    <col min="47" max="47" width="48.1406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1164</v>
      </c>
      <c r="AN2" s="110" t="s">
        <v>1165</v>
      </c>
      <c r="AO2" s="110" t="s">
        <v>1166</v>
      </c>
      <c r="AP2" s="110" t="s">
        <v>1167</v>
      </c>
      <c r="AQ2" s="110" t="s">
        <v>1168</v>
      </c>
      <c r="AR2" s="110" t="s">
        <v>1169</v>
      </c>
      <c r="AS2" s="110" t="s">
        <v>1170</v>
      </c>
      <c r="AT2" s="110" t="s">
        <v>1171</v>
      </c>
    </row>
    <row r="3" spans="1:46">
      <c r="A3" s="112">
        <v>1</v>
      </c>
      <c r="B3" s="113">
        <v>45839</v>
      </c>
      <c r="C3" s="114">
        <f>YEAR(MC[[#This Row],[Date]])+IF(MONTH(MC[[#This Row],[Date]])&gt;=4,1,0)</f>
        <v>2026</v>
      </c>
      <c r="D3" s="115">
        <f>YEAR(MC[[#This Row],[Date]])</f>
        <v>2025</v>
      </c>
      <c r="E3" s="112" t="s">
        <v>1313</v>
      </c>
      <c r="F3" s="112" t="s">
        <v>1313</v>
      </c>
      <c r="G3" s="116" t="str">
        <f>TEXT(MC[[#This Row],[Date]],"mmm-yy")</f>
        <v>Jul-25</v>
      </c>
      <c r="H3" s="116">
        <f>DAY(EOMONTH(MC[[#This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45840</v>
      </c>
      <c r="C4" s="114">
        <f>YEAR(MC[[#This Row],[Date]])+IF(MONTH(MC[[#This Row],[Date]])&gt;=4,1,0)</f>
        <v>2026</v>
      </c>
      <c r="D4" s="115">
        <f>YEAR(MC[[#This Row],[Date]])</f>
        <v>2025</v>
      </c>
      <c r="E4" s="112" t="s">
        <v>1313</v>
      </c>
      <c r="F4" s="112" t="s">
        <v>1313</v>
      </c>
      <c r="G4" s="116" t="str">
        <f>TEXT(MC[[#This Row],[Date]],"mmm-yy")</f>
        <v>Jul-25</v>
      </c>
      <c r="H4" s="116">
        <f>DAY(EOMONTH(MC[[#This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33" si="0">B4+1</f>
        <v>45841</v>
      </c>
      <c r="C5" s="114">
        <f>YEAR(MC[[#This Row],[Date]])+IF(MONTH(MC[[#This Row],[Date]])&gt;=4,1,0)</f>
        <v>2026</v>
      </c>
      <c r="D5" s="115">
        <f>YEAR(MC[[#This Row],[Date]])</f>
        <v>2025</v>
      </c>
      <c r="E5" s="112" t="s">
        <v>1313</v>
      </c>
      <c r="F5" s="112" t="s">
        <v>1313</v>
      </c>
      <c r="G5" s="116" t="str">
        <f>TEXT(MC[[#This Row],[Date]],"mmm-yy")</f>
        <v>Jul-25</v>
      </c>
      <c r="H5" s="116">
        <f>DAY(EOMONTH(MC[[#This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45842</v>
      </c>
      <c r="C6" s="114">
        <f>YEAR(MC[[#This Row],[Date]])+IF(MONTH(MC[[#This Row],[Date]])&gt;=4,1,0)</f>
        <v>2026</v>
      </c>
      <c r="D6" s="115">
        <f>YEAR(MC[[#This Row],[Date]])</f>
        <v>2025</v>
      </c>
      <c r="E6" s="112" t="s">
        <v>1313</v>
      </c>
      <c r="F6" s="112" t="s">
        <v>1313</v>
      </c>
      <c r="G6" s="116" t="str">
        <f>TEXT(MC[[#This Row],[Date]],"mmm-yy")</f>
        <v>Jul-25</v>
      </c>
      <c r="H6" s="116">
        <f>DAY(EOMONTH(MC[[#This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45843</v>
      </c>
      <c r="C7" s="114">
        <f>YEAR(MC[[#This Row],[Date]])+IF(MONTH(MC[[#This Row],[Date]])&gt;=4,1,0)</f>
        <v>2026</v>
      </c>
      <c r="D7" s="115">
        <f>YEAR(MC[[#This Row],[Date]])</f>
        <v>2025</v>
      </c>
      <c r="E7" s="112" t="s">
        <v>1313</v>
      </c>
      <c r="F7" s="112" t="s">
        <v>1313</v>
      </c>
      <c r="G7" s="116" t="str">
        <f>TEXT(MC[[#This Row],[Date]],"mmm-yy")</f>
        <v>Jul-25</v>
      </c>
      <c r="H7" s="116">
        <f>DAY(EOMONTH(MC[[#This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45844</v>
      </c>
      <c r="C8" s="114">
        <f>YEAR(MC[[#This Row],[Date]])+IF(MONTH(MC[[#This Row],[Date]])&gt;=4,1,0)</f>
        <v>2026</v>
      </c>
      <c r="D8" s="115">
        <f>YEAR(MC[[#This Row],[Date]])</f>
        <v>2025</v>
      </c>
      <c r="E8" s="112" t="s">
        <v>1313</v>
      </c>
      <c r="F8" s="112" t="s">
        <v>1313</v>
      </c>
      <c r="G8" s="116" t="str">
        <f>TEXT(MC[[#This Row],[Date]],"mmm-yy")</f>
        <v>Jul-25</v>
      </c>
      <c r="H8" s="116">
        <f>DAY(EOMONTH(MC[[#This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45845</v>
      </c>
      <c r="C9" s="114">
        <f>YEAR(MC[[#This Row],[Date]])+IF(MONTH(MC[[#This Row],[Date]])&gt;=4,1,0)</f>
        <v>2026</v>
      </c>
      <c r="D9" s="115">
        <f>YEAR(MC[[#This Row],[Date]])</f>
        <v>2025</v>
      </c>
      <c r="E9" s="112" t="s">
        <v>1313</v>
      </c>
      <c r="F9" s="112" t="s">
        <v>1313</v>
      </c>
      <c r="G9" s="116" t="str">
        <f>TEXT(MC[[#This Row],[Date]],"mmm-yy")</f>
        <v>Jul-25</v>
      </c>
      <c r="H9" s="116">
        <f>DAY(EOMONTH(MC[[#This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45846</v>
      </c>
      <c r="C10" s="114">
        <f>YEAR(MC[[#This Row],[Date]])+IF(MONTH(MC[[#This Row],[Date]])&gt;=4,1,0)</f>
        <v>2026</v>
      </c>
      <c r="D10" s="115">
        <f>YEAR(MC[[#This Row],[Date]])</f>
        <v>2025</v>
      </c>
      <c r="E10" s="112" t="s">
        <v>1313</v>
      </c>
      <c r="F10" s="112" t="s">
        <v>1313</v>
      </c>
      <c r="G10" s="116" t="str">
        <f>TEXT(MC[[#This Row],[Date]],"mmm-yy")</f>
        <v>Jul-25</v>
      </c>
      <c r="H10" s="116">
        <f>DAY(EOMONTH(MC[[#This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45847</v>
      </c>
      <c r="C11" s="114">
        <f>YEAR(MC[[#This Row],[Date]])+IF(MONTH(MC[[#This Row],[Date]])&gt;=4,1,0)</f>
        <v>2026</v>
      </c>
      <c r="D11" s="115">
        <f>YEAR(MC[[#This Row],[Date]])</f>
        <v>2025</v>
      </c>
      <c r="E11" s="112" t="s">
        <v>1313</v>
      </c>
      <c r="F11" s="112" t="s">
        <v>1313</v>
      </c>
      <c r="G11" s="116" t="str">
        <f>TEXT(MC[[#This Row],[Date]],"mmm-yy")</f>
        <v>Jul-25</v>
      </c>
      <c r="H11" s="116">
        <f>DAY(EOMONTH(MC[[#This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45848</v>
      </c>
      <c r="C12" s="114">
        <f>YEAR(MC[[#This Row],[Date]])+IF(MONTH(MC[[#This Row],[Date]])&gt;=4,1,0)</f>
        <v>2026</v>
      </c>
      <c r="D12" s="115">
        <f>YEAR(MC[[#This Row],[Date]])</f>
        <v>2025</v>
      </c>
      <c r="E12" s="112" t="s">
        <v>1313</v>
      </c>
      <c r="F12" s="112" t="s">
        <v>1313</v>
      </c>
      <c r="G12" s="116" t="str">
        <f>TEXT(MC[[#This Row],[Date]],"mmm-yy")</f>
        <v>Jul-25</v>
      </c>
      <c r="H12" s="116">
        <f>DAY(EOMONTH(MC[[#This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45849</v>
      </c>
      <c r="C13" s="114">
        <f>YEAR(MC[[#This Row],[Date]])+IF(MONTH(MC[[#This Row],[Date]])&gt;=4,1,0)</f>
        <v>2026</v>
      </c>
      <c r="D13" s="115">
        <f>YEAR(MC[[#This Row],[Date]])</f>
        <v>2025</v>
      </c>
      <c r="E13" s="112" t="s">
        <v>1313</v>
      </c>
      <c r="F13" s="112" t="s">
        <v>1313</v>
      </c>
      <c r="G13" s="116" t="str">
        <f>TEXT(MC[[#This Row],[Date]],"mmm-yy")</f>
        <v>Jul-25</v>
      </c>
      <c r="H13" s="116">
        <f>DAY(EOMONTH(MC[[#This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45850</v>
      </c>
      <c r="C14" s="114">
        <f>YEAR(MC[[#This Row],[Date]])+IF(MONTH(MC[[#This Row],[Date]])&gt;=4,1,0)</f>
        <v>2026</v>
      </c>
      <c r="D14" s="115">
        <f>YEAR(MC[[#This Row],[Date]])</f>
        <v>2025</v>
      </c>
      <c r="E14" s="112" t="s">
        <v>1313</v>
      </c>
      <c r="F14" s="112" t="s">
        <v>1313</v>
      </c>
      <c r="G14" s="116" t="str">
        <f>TEXT(MC[[#This Row],[Date]],"mmm-yy")</f>
        <v>Jul-25</v>
      </c>
      <c r="H14" s="116">
        <f>DAY(EOMONTH(MC[[#This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45851</v>
      </c>
      <c r="C15" s="114">
        <f>YEAR(MC[[#This Row],[Date]])+IF(MONTH(MC[[#This Row],[Date]])&gt;=4,1,0)</f>
        <v>2026</v>
      </c>
      <c r="D15" s="115">
        <f>YEAR(MC[[#This Row],[Date]])</f>
        <v>2025</v>
      </c>
      <c r="E15" s="112" t="s">
        <v>1313</v>
      </c>
      <c r="F15" s="112" t="s">
        <v>1313</v>
      </c>
      <c r="G15" s="116" t="str">
        <f>TEXT(MC[[#This Row],[Date]],"mmm-yy")</f>
        <v>Jul-25</v>
      </c>
      <c r="H15" s="116">
        <f>DAY(EOMONTH(MC[[#This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45852</v>
      </c>
      <c r="C16" s="114">
        <f>YEAR(MC[[#This Row],[Date]])+IF(MONTH(MC[[#This Row],[Date]])&gt;=4,1,0)</f>
        <v>2026</v>
      </c>
      <c r="D16" s="115">
        <f>YEAR(MC[[#This Row],[Date]])</f>
        <v>2025</v>
      </c>
      <c r="E16" s="112" t="s">
        <v>1313</v>
      </c>
      <c r="F16" s="112" t="s">
        <v>1313</v>
      </c>
      <c r="G16" s="116" t="str">
        <f>TEXT(MC[[#This Row],[Date]],"mmm-yy")</f>
        <v>Jul-25</v>
      </c>
      <c r="H16" s="116">
        <f>DAY(EOMONTH(MC[[#This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45853</v>
      </c>
      <c r="C17" s="114">
        <f>YEAR(MC[[#This Row],[Date]])+IF(MONTH(MC[[#This Row],[Date]])&gt;=4,1,0)</f>
        <v>2026</v>
      </c>
      <c r="D17" s="115">
        <f>YEAR(MC[[#This Row],[Date]])</f>
        <v>2025</v>
      </c>
      <c r="E17" s="112" t="s">
        <v>1313</v>
      </c>
      <c r="F17" s="112" t="s">
        <v>1313</v>
      </c>
      <c r="G17" s="116" t="str">
        <f>TEXT(MC[[#This Row],[Date]],"mmm-yy")</f>
        <v>Jul-25</v>
      </c>
      <c r="H17" s="116">
        <f>DAY(EOMONTH(MC[[#This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45854</v>
      </c>
      <c r="C18" s="114">
        <f>YEAR(MC[[#This Row],[Date]])+IF(MONTH(MC[[#This Row],[Date]])&gt;=4,1,0)</f>
        <v>2026</v>
      </c>
      <c r="D18" s="115">
        <f>YEAR(MC[[#This Row],[Date]])</f>
        <v>2025</v>
      </c>
      <c r="E18" s="112" t="s">
        <v>1313</v>
      </c>
      <c r="F18" s="112" t="s">
        <v>1313</v>
      </c>
      <c r="G18" s="116" t="str">
        <f>TEXT(MC[[#This Row],[Date]],"mmm-yy")</f>
        <v>Jul-25</v>
      </c>
      <c r="H18" s="116">
        <f>DAY(EOMONTH(MC[[#This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45855</v>
      </c>
      <c r="C19" s="114">
        <f>YEAR(MC[[#This Row],[Date]])+IF(MONTH(MC[[#This Row],[Date]])&gt;=4,1,0)</f>
        <v>2026</v>
      </c>
      <c r="D19" s="115">
        <f>YEAR(MC[[#This Row],[Date]])</f>
        <v>2025</v>
      </c>
      <c r="E19" s="112" t="s">
        <v>1313</v>
      </c>
      <c r="F19" s="112" t="s">
        <v>1313</v>
      </c>
      <c r="G19" s="116" t="str">
        <f>TEXT(MC[[#This Row],[Date]],"mmm-yy")</f>
        <v>Jul-25</v>
      </c>
      <c r="H19" s="116">
        <f>DAY(EOMONTH(MC[[#This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45856</v>
      </c>
      <c r="C20" s="114">
        <f>YEAR(MC[[#This Row],[Date]])+IF(MONTH(MC[[#This Row],[Date]])&gt;=4,1,0)</f>
        <v>2026</v>
      </c>
      <c r="D20" s="115">
        <f>YEAR(MC[[#This Row],[Date]])</f>
        <v>2025</v>
      </c>
      <c r="E20" s="112" t="s">
        <v>1313</v>
      </c>
      <c r="F20" s="112" t="s">
        <v>1313</v>
      </c>
      <c r="G20" s="116" t="str">
        <f>TEXT(MC[[#This Row],[Date]],"mmm-yy")</f>
        <v>Jul-25</v>
      </c>
      <c r="H20" s="116">
        <f>DAY(EOMONTH(MC[[#This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45857</v>
      </c>
      <c r="C21" s="114">
        <f>YEAR(MC[[#This Row],[Date]])+IF(MONTH(MC[[#This Row],[Date]])&gt;=4,1,0)</f>
        <v>2026</v>
      </c>
      <c r="D21" s="115">
        <f>YEAR(MC[[#This Row],[Date]])</f>
        <v>2025</v>
      </c>
      <c r="E21" s="112" t="s">
        <v>1313</v>
      </c>
      <c r="F21" s="112" t="s">
        <v>1313</v>
      </c>
      <c r="G21" s="116" t="str">
        <f>TEXT(MC[[#This Row],[Date]],"mmm-yy")</f>
        <v>Jul-25</v>
      </c>
      <c r="H21" s="116">
        <f>DAY(EOMONTH(MC[[#This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45858</v>
      </c>
      <c r="C22" s="114">
        <f>YEAR(MC[[#This Row],[Date]])+IF(MONTH(MC[[#This Row],[Date]])&gt;=4,1,0)</f>
        <v>2026</v>
      </c>
      <c r="D22" s="115">
        <f>YEAR(MC[[#This Row],[Date]])</f>
        <v>2025</v>
      </c>
      <c r="E22" s="112" t="s">
        <v>1313</v>
      </c>
      <c r="F22" s="112" t="s">
        <v>1313</v>
      </c>
      <c r="G22" s="116" t="str">
        <f>TEXT(MC[[#This Row],[Date]],"mmm-yy")</f>
        <v>Jul-25</v>
      </c>
      <c r="H22" s="116">
        <f>DAY(EOMONTH(MC[[#This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45859</v>
      </c>
      <c r="C23" s="114">
        <f>YEAR(MC[[#This Row],[Date]])+IF(MONTH(MC[[#This Row],[Date]])&gt;=4,1,0)</f>
        <v>2026</v>
      </c>
      <c r="D23" s="115">
        <f>YEAR(MC[[#This Row],[Date]])</f>
        <v>2025</v>
      </c>
      <c r="E23" s="112" t="s">
        <v>1313</v>
      </c>
      <c r="F23" s="112" t="s">
        <v>1313</v>
      </c>
      <c r="G23" s="116" t="str">
        <f>TEXT(MC[[#This Row],[Date]],"mmm-yy")</f>
        <v>Jul-25</v>
      </c>
      <c r="H23" s="116">
        <f>DAY(EOMONTH(MC[[#This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45860</v>
      </c>
      <c r="C24" s="114">
        <f>YEAR(MC[[#This Row],[Date]])+IF(MONTH(MC[[#This Row],[Date]])&gt;=4,1,0)</f>
        <v>2026</v>
      </c>
      <c r="D24" s="115">
        <f>YEAR(MC[[#This Row],[Date]])</f>
        <v>2025</v>
      </c>
      <c r="E24" s="112" t="s">
        <v>1313</v>
      </c>
      <c r="F24" s="112" t="s">
        <v>1313</v>
      </c>
      <c r="G24" s="116" t="str">
        <f>TEXT(MC[[#This Row],[Date]],"mmm-yy")</f>
        <v>Jul-25</v>
      </c>
      <c r="H24" s="116">
        <f>DAY(EOMONTH(MC[[#This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45861</v>
      </c>
      <c r="C25" s="114">
        <f>YEAR(MC[[#This Row],[Date]])+IF(MONTH(MC[[#This Row],[Date]])&gt;=4,1,0)</f>
        <v>2026</v>
      </c>
      <c r="D25" s="115">
        <f>YEAR(MC[[#This Row],[Date]])</f>
        <v>2025</v>
      </c>
      <c r="E25" s="112" t="s">
        <v>1313</v>
      </c>
      <c r="F25" s="112" t="s">
        <v>1313</v>
      </c>
      <c r="G25" s="116" t="str">
        <f>TEXT(MC[[#This Row],[Date]],"mmm-yy")</f>
        <v>Jul-25</v>
      </c>
      <c r="H25" s="116">
        <f>DAY(EOMONTH(MC[[#This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45862</v>
      </c>
      <c r="C26" s="114">
        <f>YEAR(MC[[#This Row],[Date]])+IF(MONTH(MC[[#This Row],[Date]])&gt;=4,1,0)</f>
        <v>2026</v>
      </c>
      <c r="D26" s="115">
        <f>YEAR(MC[[#This Row],[Date]])</f>
        <v>2025</v>
      </c>
      <c r="E26" s="112" t="s">
        <v>1313</v>
      </c>
      <c r="F26" s="112" t="s">
        <v>1313</v>
      </c>
      <c r="G26" s="116" t="str">
        <f>TEXT(MC[[#This Row],[Date]],"mmm-yy")</f>
        <v>Jul-25</v>
      </c>
      <c r="H26" s="116">
        <f>DAY(EOMONTH(MC[[#This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45863</v>
      </c>
      <c r="C27" s="114">
        <f>YEAR(MC[[#This Row],[Date]])+IF(MONTH(MC[[#This Row],[Date]])&gt;=4,1,0)</f>
        <v>2026</v>
      </c>
      <c r="D27" s="115">
        <f>YEAR(MC[[#This Row],[Date]])</f>
        <v>2025</v>
      </c>
      <c r="E27" s="112" t="s">
        <v>1313</v>
      </c>
      <c r="F27" s="112" t="s">
        <v>1313</v>
      </c>
      <c r="G27" s="116" t="str">
        <f>TEXT(MC[[#This Row],[Date]],"mmm-yy")</f>
        <v>Jul-25</v>
      </c>
      <c r="H27" s="116">
        <f>DAY(EOMONTH(MC[[#This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45864</v>
      </c>
      <c r="C28" s="114">
        <f>YEAR(MC[[#This Row],[Date]])+IF(MONTH(MC[[#This Row],[Date]])&gt;=4,1,0)</f>
        <v>2026</v>
      </c>
      <c r="D28" s="115">
        <f>YEAR(MC[[#This Row],[Date]])</f>
        <v>2025</v>
      </c>
      <c r="E28" s="112" t="s">
        <v>1313</v>
      </c>
      <c r="F28" s="112" t="s">
        <v>1313</v>
      </c>
      <c r="G28" s="116" t="str">
        <f>TEXT(MC[[#This Row],[Date]],"mmm-yy")</f>
        <v>Jul-25</v>
      </c>
      <c r="H28" s="116">
        <f>DAY(EOMONTH(MC[[#This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45865</v>
      </c>
      <c r="C29" s="114">
        <f>YEAR(MC[[#This Row],[Date]])+IF(MONTH(MC[[#This Row],[Date]])&gt;=4,1,0)</f>
        <v>2026</v>
      </c>
      <c r="D29" s="115">
        <f>YEAR(MC[[#This Row],[Date]])</f>
        <v>2025</v>
      </c>
      <c r="E29" s="112" t="s">
        <v>1313</v>
      </c>
      <c r="F29" s="112" t="s">
        <v>1313</v>
      </c>
      <c r="G29" s="116" t="str">
        <f>TEXT(MC[[#This Row],[Date]],"mmm-yy")</f>
        <v>Jul-25</v>
      </c>
      <c r="H29" s="116">
        <f>DAY(EOMONTH(MC[[#This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45866</v>
      </c>
      <c r="C30" s="114">
        <f>YEAR(MC[[#This Row],[Date]])+IF(MONTH(MC[[#This Row],[Date]])&gt;=4,1,0)</f>
        <v>2026</v>
      </c>
      <c r="D30" s="115">
        <f>YEAR(MC[[#This Row],[Date]])</f>
        <v>2025</v>
      </c>
      <c r="E30" s="112" t="s">
        <v>1313</v>
      </c>
      <c r="F30" s="112" t="s">
        <v>1313</v>
      </c>
      <c r="G30" s="116" t="str">
        <f>TEXT(MC[[#This Row],[Date]],"mmm-yy")</f>
        <v>Jul-25</v>
      </c>
      <c r="H30" s="116">
        <f>DAY(EOMONTH(MC[[#This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45867</v>
      </c>
      <c r="C31" s="114">
        <f>YEAR(MC[[#This Row],[Date]])+IF(MONTH(MC[[#This Row],[Date]])&gt;=4,1,0)</f>
        <v>2026</v>
      </c>
      <c r="D31" s="115">
        <f>YEAR(MC[[#This Row],[Date]])</f>
        <v>2025</v>
      </c>
      <c r="E31" s="112" t="s">
        <v>1313</v>
      </c>
      <c r="F31" s="112" t="s">
        <v>1313</v>
      </c>
      <c r="G31" s="116" t="str">
        <f>TEXT(MC[[#This Row],[Date]],"mmm-yy")</f>
        <v>Jul-25</v>
      </c>
      <c r="H31" s="116">
        <f>DAY(EOMONTH(MC[[#This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45868</v>
      </c>
      <c r="C32" s="114">
        <f>YEAR(MC[[#This Row],[Date]])+IF(MONTH(MC[[#This Row],[Date]])&gt;=4,1,0)</f>
        <v>2026</v>
      </c>
      <c r="D32" s="115">
        <f>YEAR(MC[[#This Row],[Date]])</f>
        <v>2025</v>
      </c>
      <c r="E32" s="112" t="s">
        <v>1313</v>
      </c>
      <c r="F32" s="112" t="s">
        <v>1313</v>
      </c>
      <c r="G32" s="116" t="str">
        <f>TEXT(MC[[#This Row],[Date]],"mmm-yy")</f>
        <v>Jul-25</v>
      </c>
      <c r="H32" s="116">
        <f>DAY(EOMONTH(MC[[#This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45869</v>
      </c>
      <c r="C33" s="114">
        <f>YEAR(MC[[#This Row],[Date]])+IF(MONTH(MC[[#This Row],[Date]])&gt;=4,1,0)</f>
        <v>2026</v>
      </c>
      <c r="D33" s="115">
        <f>YEAR(MC[[#This Row],[Date]])</f>
        <v>2025</v>
      </c>
      <c r="E33" s="112" t="s">
        <v>1313</v>
      </c>
      <c r="F33" s="112" t="s">
        <v>1313</v>
      </c>
      <c r="G33" s="116" t="str">
        <f>TEXT(MC[[#This Row],[Date]],"mmm-yy")</f>
        <v>Jul-25</v>
      </c>
      <c r="H33" s="116">
        <f>DAY(EOMONTH(MC[[#This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56" width="11.85546875" customWidth="1"/>
    <col min="57" max="57" width="13.42578125" customWidth="1"/>
    <col min="58" max="58" width="11.140625" style="5" customWidth="1"/>
    <col min="59" max="64" width="13.140625" customWidth="1"/>
    <col min="65" max="65" width="48.1406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64" t="s">
        <v>1172</v>
      </c>
      <c r="AN2" s="164" t="s">
        <v>1173</v>
      </c>
      <c r="AO2" s="164" t="s">
        <v>1174</v>
      </c>
      <c r="AP2" s="164" t="s">
        <v>1175</v>
      </c>
      <c r="AQ2" s="164" t="s">
        <v>1176</v>
      </c>
      <c r="AR2" s="164" t="s">
        <v>1177</v>
      </c>
      <c r="AS2" s="164" t="s">
        <v>1178</v>
      </c>
      <c r="AT2" s="164" t="s">
        <v>1179</v>
      </c>
      <c r="AU2" s="164" t="s">
        <v>1180</v>
      </c>
      <c r="AV2" s="164" t="s">
        <v>1181</v>
      </c>
      <c r="AW2" s="164" t="s">
        <v>1182</v>
      </c>
      <c r="AX2" s="164" t="s">
        <v>1183</v>
      </c>
      <c r="AY2" s="164" t="s">
        <v>1184</v>
      </c>
      <c r="AZ2" s="164" t="s">
        <v>1185</v>
      </c>
      <c r="BA2" s="164" t="s">
        <v>1186</v>
      </c>
      <c r="BB2" s="164" t="s">
        <v>1187</v>
      </c>
      <c r="BC2" s="164" t="s">
        <v>1188</v>
      </c>
      <c r="BD2" s="164" t="s">
        <v>1189</v>
      </c>
      <c r="BE2" s="110" t="s">
        <v>1164</v>
      </c>
      <c r="BF2" s="110" t="s">
        <v>1165</v>
      </c>
      <c r="BG2" s="110" t="s">
        <v>1166</v>
      </c>
      <c r="BH2" s="110" t="s">
        <v>1167</v>
      </c>
      <c r="BI2" s="110" t="s">
        <v>1168</v>
      </c>
      <c r="BJ2" s="110" t="s">
        <v>1169</v>
      </c>
      <c r="BK2" s="110" t="s">
        <v>1170</v>
      </c>
      <c r="BL2" s="110" t="s">
        <v>1171</v>
      </c>
    </row>
    <row r="3" spans="1:64">
      <c r="A3" s="112">
        <v>1</v>
      </c>
      <c r="B3" s="113">
        <v>45839</v>
      </c>
      <c r="C3" s="114">
        <f>YEAR(MC_2[[#This Row],[Date]])+IF(MONTH(MC_2[[#This Row],[Date]])&gt;=4,1,0)</f>
        <v>2026</v>
      </c>
      <c r="D3" s="115">
        <f>YEAR(MC_2[[#This Row],[Date]])</f>
        <v>2025</v>
      </c>
      <c r="E3" s="112" t="s">
        <v>1313</v>
      </c>
      <c r="F3" s="112" t="s">
        <v>1313</v>
      </c>
      <c r="G3" s="116" t="str">
        <f>TEXT(MC_2[[#This Row],[Date]],"mmm-yy")</f>
        <v>Jul-25</v>
      </c>
      <c r="H3" s="116">
        <f>DAY(EOMONTH(MC_2[[#This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45840</v>
      </c>
      <c r="C4" s="114">
        <f>YEAR(MC_2[[#This Row],[Date]])+IF(MONTH(MC_2[[#This Row],[Date]])&gt;=4,1,0)</f>
        <v>2026</v>
      </c>
      <c r="D4" s="115">
        <f>YEAR(MC_2[[#This Row],[Date]])</f>
        <v>2025</v>
      </c>
      <c r="E4" s="112" t="s">
        <v>1313</v>
      </c>
      <c r="F4" s="112" t="s">
        <v>1313</v>
      </c>
      <c r="G4" s="116" t="str">
        <f>TEXT(MC_2[[#This Row],[Date]],"mmm-yy")</f>
        <v>Jul-25</v>
      </c>
      <c r="H4" s="116">
        <f>DAY(EOMONTH(MC_2[[#This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33" si="0">B4+1</f>
        <v>45841</v>
      </c>
      <c r="C5" s="114">
        <f>YEAR(MC_2[[#This Row],[Date]])+IF(MONTH(MC_2[[#This Row],[Date]])&gt;=4,1,0)</f>
        <v>2026</v>
      </c>
      <c r="D5" s="115">
        <f>YEAR(MC_2[[#This Row],[Date]])</f>
        <v>2025</v>
      </c>
      <c r="E5" s="112" t="s">
        <v>1313</v>
      </c>
      <c r="F5" s="112" t="s">
        <v>1313</v>
      </c>
      <c r="G5" s="116" t="str">
        <f>TEXT(MC_2[[#This Row],[Date]],"mmm-yy")</f>
        <v>Jul-25</v>
      </c>
      <c r="H5" s="116">
        <f>DAY(EOMONTH(MC_2[[#This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45842</v>
      </c>
      <c r="C6" s="114">
        <f>YEAR(MC_2[[#This Row],[Date]])+IF(MONTH(MC_2[[#This Row],[Date]])&gt;=4,1,0)</f>
        <v>2026</v>
      </c>
      <c r="D6" s="115">
        <f>YEAR(MC_2[[#This Row],[Date]])</f>
        <v>2025</v>
      </c>
      <c r="E6" s="112" t="s">
        <v>1313</v>
      </c>
      <c r="F6" s="112" t="s">
        <v>1313</v>
      </c>
      <c r="G6" s="116" t="str">
        <f>TEXT(MC_2[[#This Row],[Date]],"mmm-yy")</f>
        <v>Jul-25</v>
      </c>
      <c r="H6" s="116">
        <f>DAY(EOMONTH(MC_2[[#This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45843</v>
      </c>
      <c r="C7" s="114">
        <f>YEAR(MC_2[[#This Row],[Date]])+IF(MONTH(MC_2[[#This Row],[Date]])&gt;=4,1,0)</f>
        <v>2026</v>
      </c>
      <c r="D7" s="115">
        <f>YEAR(MC_2[[#This Row],[Date]])</f>
        <v>2025</v>
      </c>
      <c r="E7" s="112" t="s">
        <v>1313</v>
      </c>
      <c r="F7" s="112" t="s">
        <v>1313</v>
      </c>
      <c r="G7" s="116" t="str">
        <f>TEXT(MC_2[[#This Row],[Date]],"mmm-yy")</f>
        <v>Jul-25</v>
      </c>
      <c r="H7" s="116">
        <f>DAY(EOMONTH(MC_2[[#This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45844</v>
      </c>
      <c r="C8" s="114">
        <f>YEAR(MC_2[[#This Row],[Date]])+IF(MONTH(MC_2[[#This Row],[Date]])&gt;=4,1,0)</f>
        <v>2026</v>
      </c>
      <c r="D8" s="115">
        <f>YEAR(MC_2[[#This Row],[Date]])</f>
        <v>2025</v>
      </c>
      <c r="E8" s="112" t="s">
        <v>1313</v>
      </c>
      <c r="F8" s="112" t="s">
        <v>1313</v>
      </c>
      <c r="G8" s="116" t="str">
        <f>TEXT(MC_2[[#This Row],[Date]],"mmm-yy")</f>
        <v>Jul-25</v>
      </c>
      <c r="H8" s="116">
        <f>DAY(EOMONTH(MC_2[[#This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45845</v>
      </c>
      <c r="C9" s="114">
        <f>YEAR(MC_2[[#This Row],[Date]])+IF(MONTH(MC_2[[#This Row],[Date]])&gt;=4,1,0)</f>
        <v>2026</v>
      </c>
      <c r="D9" s="115">
        <f>YEAR(MC_2[[#This Row],[Date]])</f>
        <v>2025</v>
      </c>
      <c r="E9" s="112" t="s">
        <v>1313</v>
      </c>
      <c r="F9" s="112" t="s">
        <v>1313</v>
      </c>
      <c r="G9" s="116" t="str">
        <f>TEXT(MC_2[[#This Row],[Date]],"mmm-yy")</f>
        <v>Jul-25</v>
      </c>
      <c r="H9" s="116">
        <f>DAY(EOMONTH(MC_2[[#This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45846</v>
      </c>
      <c r="C10" s="114">
        <f>YEAR(MC_2[[#This Row],[Date]])+IF(MONTH(MC_2[[#This Row],[Date]])&gt;=4,1,0)</f>
        <v>2026</v>
      </c>
      <c r="D10" s="115">
        <f>YEAR(MC_2[[#This Row],[Date]])</f>
        <v>2025</v>
      </c>
      <c r="E10" s="112" t="s">
        <v>1313</v>
      </c>
      <c r="F10" s="112" t="s">
        <v>1313</v>
      </c>
      <c r="G10" s="116" t="str">
        <f>TEXT(MC_2[[#This Row],[Date]],"mmm-yy")</f>
        <v>Jul-25</v>
      </c>
      <c r="H10" s="116">
        <f>DAY(EOMONTH(MC_2[[#This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45847</v>
      </c>
      <c r="C11" s="114">
        <f>YEAR(MC_2[[#This Row],[Date]])+IF(MONTH(MC_2[[#This Row],[Date]])&gt;=4,1,0)</f>
        <v>2026</v>
      </c>
      <c r="D11" s="115">
        <f>YEAR(MC_2[[#This Row],[Date]])</f>
        <v>2025</v>
      </c>
      <c r="E11" s="112" t="s">
        <v>1313</v>
      </c>
      <c r="F11" s="112" t="s">
        <v>1313</v>
      </c>
      <c r="G11" s="116" t="str">
        <f>TEXT(MC_2[[#This Row],[Date]],"mmm-yy")</f>
        <v>Jul-25</v>
      </c>
      <c r="H11" s="116">
        <f>DAY(EOMONTH(MC_2[[#This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45848</v>
      </c>
      <c r="C12" s="114">
        <f>YEAR(MC_2[[#This Row],[Date]])+IF(MONTH(MC_2[[#This Row],[Date]])&gt;=4,1,0)</f>
        <v>2026</v>
      </c>
      <c r="D12" s="115">
        <f>YEAR(MC_2[[#This Row],[Date]])</f>
        <v>2025</v>
      </c>
      <c r="E12" s="112" t="s">
        <v>1313</v>
      </c>
      <c r="F12" s="112" t="s">
        <v>1313</v>
      </c>
      <c r="G12" s="116" t="str">
        <f>TEXT(MC_2[[#This Row],[Date]],"mmm-yy")</f>
        <v>Jul-25</v>
      </c>
      <c r="H12" s="116">
        <f>DAY(EOMONTH(MC_2[[#This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45849</v>
      </c>
      <c r="C13" s="114">
        <f>YEAR(MC_2[[#This Row],[Date]])+IF(MONTH(MC_2[[#This Row],[Date]])&gt;=4,1,0)</f>
        <v>2026</v>
      </c>
      <c r="D13" s="115">
        <f>YEAR(MC_2[[#This Row],[Date]])</f>
        <v>2025</v>
      </c>
      <c r="E13" s="112" t="s">
        <v>1313</v>
      </c>
      <c r="F13" s="112" t="s">
        <v>1313</v>
      </c>
      <c r="G13" s="116" t="str">
        <f>TEXT(MC_2[[#This Row],[Date]],"mmm-yy")</f>
        <v>Jul-25</v>
      </c>
      <c r="H13" s="116">
        <f>DAY(EOMONTH(MC_2[[#This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45850</v>
      </c>
      <c r="C14" s="114">
        <f>YEAR(MC_2[[#This Row],[Date]])+IF(MONTH(MC_2[[#This Row],[Date]])&gt;=4,1,0)</f>
        <v>2026</v>
      </c>
      <c r="D14" s="115">
        <f>YEAR(MC_2[[#This Row],[Date]])</f>
        <v>2025</v>
      </c>
      <c r="E14" s="112" t="s">
        <v>1313</v>
      </c>
      <c r="F14" s="112" t="s">
        <v>1313</v>
      </c>
      <c r="G14" s="116" t="str">
        <f>TEXT(MC_2[[#This Row],[Date]],"mmm-yy")</f>
        <v>Jul-25</v>
      </c>
      <c r="H14" s="116">
        <f>DAY(EOMONTH(MC_2[[#This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45851</v>
      </c>
      <c r="C15" s="114">
        <f>YEAR(MC_2[[#This Row],[Date]])+IF(MONTH(MC_2[[#This Row],[Date]])&gt;=4,1,0)</f>
        <v>2026</v>
      </c>
      <c r="D15" s="115">
        <f>YEAR(MC_2[[#This Row],[Date]])</f>
        <v>2025</v>
      </c>
      <c r="E15" s="112" t="s">
        <v>1313</v>
      </c>
      <c r="F15" s="112" t="s">
        <v>1313</v>
      </c>
      <c r="G15" s="116" t="str">
        <f>TEXT(MC_2[[#This Row],[Date]],"mmm-yy")</f>
        <v>Jul-25</v>
      </c>
      <c r="H15" s="116">
        <f>DAY(EOMONTH(MC_2[[#This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45852</v>
      </c>
      <c r="C16" s="114">
        <f>YEAR(MC_2[[#This Row],[Date]])+IF(MONTH(MC_2[[#This Row],[Date]])&gt;=4,1,0)</f>
        <v>2026</v>
      </c>
      <c r="D16" s="115">
        <f>YEAR(MC_2[[#This Row],[Date]])</f>
        <v>2025</v>
      </c>
      <c r="E16" s="112" t="s">
        <v>1313</v>
      </c>
      <c r="F16" s="112" t="s">
        <v>1313</v>
      </c>
      <c r="G16" s="116" t="str">
        <f>TEXT(MC_2[[#This Row],[Date]],"mmm-yy")</f>
        <v>Jul-25</v>
      </c>
      <c r="H16" s="116">
        <f>DAY(EOMONTH(MC_2[[#This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45853</v>
      </c>
      <c r="C17" s="114">
        <f>YEAR(MC_2[[#This Row],[Date]])+IF(MONTH(MC_2[[#This Row],[Date]])&gt;=4,1,0)</f>
        <v>2026</v>
      </c>
      <c r="D17" s="115">
        <f>YEAR(MC_2[[#This Row],[Date]])</f>
        <v>2025</v>
      </c>
      <c r="E17" s="112" t="s">
        <v>1313</v>
      </c>
      <c r="F17" s="112" t="s">
        <v>1313</v>
      </c>
      <c r="G17" s="116" t="str">
        <f>TEXT(MC_2[[#This Row],[Date]],"mmm-yy")</f>
        <v>Jul-25</v>
      </c>
      <c r="H17" s="116">
        <f>DAY(EOMONTH(MC_2[[#This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45854</v>
      </c>
      <c r="C18" s="114">
        <f>YEAR(MC_2[[#This Row],[Date]])+IF(MONTH(MC_2[[#This Row],[Date]])&gt;=4,1,0)</f>
        <v>2026</v>
      </c>
      <c r="D18" s="115">
        <f>YEAR(MC_2[[#This Row],[Date]])</f>
        <v>2025</v>
      </c>
      <c r="E18" s="112" t="s">
        <v>1313</v>
      </c>
      <c r="F18" s="112" t="s">
        <v>1313</v>
      </c>
      <c r="G18" s="116" t="str">
        <f>TEXT(MC_2[[#This Row],[Date]],"mmm-yy")</f>
        <v>Jul-25</v>
      </c>
      <c r="H18" s="116">
        <f>DAY(EOMONTH(MC_2[[#This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45855</v>
      </c>
      <c r="C19" s="114">
        <f>YEAR(MC_2[[#This Row],[Date]])+IF(MONTH(MC_2[[#This Row],[Date]])&gt;=4,1,0)</f>
        <v>2026</v>
      </c>
      <c r="D19" s="115">
        <f>YEAR(MC_2[[#This Row],[Date]])</f>
        <v>2025</v>
      </c>
      <c r="E19" s="112" t="s">
        <v>1313</v>
      </c>
      <c r="F19" s="112" t="s">
        <v>1313</v>
      </c>
      <c r="G19" s="116" t="str">
        <f>TEXT(MC_2[[#This Row],[Date]],"mmm-yy")</f>
        <v>Jul-25</v>
      </c>
      <c r="H19" s="116">
        <f>DAY(EOMONTH(MC_2[[#This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45856</v>
      </c>
      <c r="C20" s="114">
        <f>YEAR(MC_2[[#This Row],[Date]])+IF(MONTH(MC_2[[#This Row],[Date]])&gt;=4,1,0)</f>
        <v>2026</v>
      </c>
      <c r="D20" s="115">
        <f>YEAR(MC_2[[#This Row],[Date]])</f>
        <v>2025</v>
      </c>
      <c r="E20" s="112" t="s">
        <v>1313</v>
      </c>
      <c r="F20" s="112" t="s">
        <v>1313</v>
      </c>
      <c r="G20" s="116" t="str">
        <f>TEXT(MC_2[[#This Row],[Date]],"mmm-yy")</f>
        <v>Jul-25</v>
      </c>
      <c r="H20" s="116">
        <f>DAY(EOMONTH(MC_2[[#This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45857</v>
      </c>
      <c r="C21" s="114">
        <f>YEAR(MC_2[[#This Row],[Date]])+IF(MONTH(MC_2[[#This Row],[Date]])&gt;=4,1,0)</f>
        <v>2026</v>
      </c>
      <c r="D21" s="115">
        <f>YEAR(MC_2[[#This Row],[Date]])</f>
        <v>2025</v>
      </c>
      <c r="E21" s="112" t="s">
        <v>1313</v>
      </c>
      <c r="F21" s="112" t="s">
        <v>1313</v>
      </c>
      <c r="G21" s="116" t="str">
        <f>TEXT(MC_2[[#This Row],[Date]],"mmm-yy")</f>
        <v>Jul-25</v>
      </c>
      <c r="H21" s="116">
        <f>DAY(EOMONTH(MC_2[[#This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45858</v>
      </c>
      <c r="C22" s="114">
        <f>YEAR(MC_2[[#This Row],[Date]])+IF(MONTH(MC_2[[#This Row],[Date]])&gt;=4,1,0)</f>
        <v>2026</v>
      </c>
      <c r="D22" s="115">
        <f>YEAR(MC_2[[#This Row],[Date]])</f>
        <v>2025</v>
      </c>
      <c r="E22" s="112" t="s">
        <v>1313</v>
      </c>
      <c r="F22" s="112" t="s">
        <v>1313</v>
      </c>
      <c r="G22" s="116" t="str">
        <f>TEXT(MC_2[[#This Row],[Date]],"mmm-yy")</f>
        <v>Jul-25</v>
      </c>
      <c r="H22" s="116">
        <f>DAY(EOMONTH(MC_2[[#This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45859</v>
      </c>
      <c r="C23" s="114">
        <f>YEAR(MC_2[[#This Row],[Date]])+IF(MONTH(MC_2[[#This Row],[Date]])&gt;=4,1,0)</f>
        <v>2026</v>
      </c>
      <c r="D23" s="115">
        <f>YEAR(MC_2[[#This Row],[Date]])</f>
        <v>2025</v>
      </c>
      <c r="E23" s="112" t="s">
        <v>1313</v>
      </c>
      <c r="F23" s="112" t="s">
        <v>1313</v>
      </c>
      <c r="G23" s="116" t="str">
        <f>TEXT(MC_2[[#This Row],[Date]],"mmm-yy")</f>
        <v>Jul-25</v>
      </c>
      <c r="H23" s="116">
        <f>DAY(EOMONTH(MC_2[[#This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45860</v>
      </c>
      <c r="C24" s="114">
        <f>YEAR(MC_2[[#This Row],[Date]])+IF(MONTH(MC_2[[#This Row],[Date]])&gt;=4,1,0)</f>
        <v>2026</v>
      </c>
      <c r="D24" s="115">
        <f>YEAR(MC_2[[#This Row],[Date]])</f>
        <v>2025</v>
      </c>
      <c r="E24" s="112" t="s">
        <v>1313</v>
      </c>
      <c r="F24" s="112" t="s">
        <v>1313</v>
      </c>
      <c r="G24" s="116" t="str">
        <f>TEXT(MC_2[[#This Row],[Date]],"mmm-yy")</f>
        <v>Jul-25</v>
      </c>
      <c r="H24" s="116">
        <f>DAY(EOMONTH(MC_2[[#This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45861</v>
      </c>
      <c r="C25" s="114">
        <f>YEAR(MC_2[[#This Row],[Date]])+IF(MONTH(MC_2[[#This Row],[Date]])&gt;=4,1,0)</f>
        <v>2026</v>
      </c>
      <c r="D25" s="115">
        <f>YEAR(MC_2[[#This Row],[Date]])</f>
        <v>2025</v>
      </c>
      <c r="E25" s="112" t="s">
        <v>1313</v>
      </c>
      <c r="F25" s="112" t="s">
        <v>1313</v>
      </c>
      <c r="G25" s="116" t="str">
        <f>TEXT(MC_2[[#This Row],[Date]],"mmm-yy")</f>
        <v>Jul-25</v>
      </c>
      <c r="H25" s="116">
        <f>DAY(EOMONTH(MC_2[[#This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45862</v>
      </c>
      <c r="C26" s="114">
        <f>YEAR(MC_2[[#This Row],[Date]])+IF(MONTH(MC_2[[#This Row],[Date]])&gt;=4,1,0)</f>
        <v>2026</v>
      </c>
      <c r="D26" s="115">
        <f>YEAR(MC_2[[#This Row],[Date]])</f>
        <v>2025</v>
      </c>
      <c r="E26" s="112" t="s">
        <v>1313</v>
      </c>
      <c r="F26" s="112" t="s">
        <v>1313</v>
      </c>
      <c r="G26" s="116" t="str">
        <f>TEXT(MC_2[[#This Row],[Date]],"mmm-yy")</f>
        <v>Jul-25</v>
      </c>
      <c r="H26" s="116">
        <f>DAY(EOMONTH(MC_2[[#This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45863</v>
      </c>
      <c r="C27" s="114">
        <f>YEAR(MC_2[[#This Row],[Date]])+IF(MONTH(MC_2[[#This Row],[Date]])&gt;=4,1,0)</f>
        <v>2026</v>
      </c>
      <c r="D27" s="115">
        <f>YEAR(MC_2[[#This Row],[Date]])</f>
        <v>2025</v>
      </c>
      <c r="E27" s="112" t="s">
        <v>1313</v>
      </c>
      <c r="F27" s="112" t="s">
        <v>1313</v>
      </c>
      <c r="G27" s="116" t="str">
        <f>TEXT(MC_2[[#This Row],[Date]],"mmm-yy")</f>
        <v>Jul-25</v>
      </c>
      <c r="H27" s="116">
        <f>DAY(EOMONTH(MC_2[[#This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45864</v>
      </c>
      <c r="C28" s="114">
        <f>YEAR(MC_2[[#This Row],[Date]])+IF(MONTH(MC_2[[#This Row],[Date]])&gt;=4,1,0)</f>
        <v>2026</v>
      </c>
      <c r="D28" s="115">
        <f>YEAR(MC_2[[#This Row],[Date]])</f>
        <v>2025</v>
      </c>
      <c r="E28" s="112" t="s">
        <v>1313</v>
      </c>
      <c r="F28" s="112" t="s">
        <v>1313</v>
      </c>
      <c r="G28" s="116" t="str">
        <f>TEXT(MC_2[[#This Row],[Date]],"mmm-yy")</f>
        <v>Jul-25</v>
      </c>
      <c r="H28" s="116">
        <f>DAY(EOMONTH(MC_2[[#This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45865</v>
      </c>
      <c r="C29" s="114">
        <f>YEAR(MC_2[[#This Row],[Date]])+IF(MONTH(MC_2[[#This Row],[Date]])&gt;=4,1,0)</f>
        <v>2026</v>
      </c>
      <c r="D29" s="115">
        <f>YEAR(MC_2[[#This Row],[Date]])</f>
        <v>2025</v>
      </c>
      <c r="E29" s="112" t="s">
        <v>1313</v>
      </c>
      <c r="F29" s="112" t="s">
        <v>1313</v>
      </c>
      <c r="G29" s="116" t="str">
        <f>TEXT(MC_2[[#This Row],[Date]],"mmm-yy")</f>
        <v>Jul-25</v>
      </c>
      <c r="H29" s="116">
        <f>DAY(EOMONTH(MC_2[[#This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45866</v>
      </c>
      <c r="C30" s="114">
        <f>YEAR(MC_2[[#This Row],[Date]])+IF(MONTH(MC_2[[#This Row],[Date]])&gt;=4,1,0)</f>
        <v>2026</v>
      </c>
      <c r="D30" s="115">
        <f>YEAR(MC_2[[#This Row],[Date]])</f>
        <v>2025</v>
      </c>
      <c r="E30" s="112" t="s">
        <v>1313</v>
      </c>
      <c r="F30" s="112" t="s">
        <v>1313</v>
      </c>
      <c r="G30" s="116" t="str">
        <f>TEXT(MC_2[[#This Row],[Date]],"mmm-yy")</f>
        <v>Jul-25</v>
      </c>
      <c r="H30" s="116">
        <f>DAY(EOMONTH(MC_2[[#This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45867</v>
      </c>
      <c r="C31" s="114">
        <f>YEAR(MC_2[[#This Row],[Date]])+IF(MONTH(MC_2[[#This Row],[Date]])&gt;=4,1,0)</f>
        <v>2026</v>
      </c>
      <c r="D31" s="115">
        <f>YEAR(MC_2[[#This Row],[Date]])</f>
        <v>2025</v>
      </c>
      <c r="E31" s="112" t="s">
        <v>1313</v>
      </c>
      <c r="F31" s="112" t="s">
        <v>1313</v>
      </c>
      <c r="G31" s="116" t="str">
        <f>TEXT(MC_2[[#This Row],[Date]],"mmm-yy")</f>
        <v>Jul-25</v>
      </c>
      <c r="H31" s="116">
        <f>DAY(EOMONTH(MC_2[[#This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45868</v>
      </c>
      <c r="C32" s="114">
        <f>YEAR(MC_2[[#This Row],[Date]])+IF(MONTH(MC_2[[#This Row],[Date]])&gt;=4,1,0)</f>
        <v>2026</v>
      </c>
      <c r="D32" s="115">
        <f>YEAR(MC_2[[#This Row],[Date]])</f>
        <v>2025</v>
      </c>
      <c r="E32" s="112" t="s">
        <v>1313</v>
      </c>
      <c r="F32" s="112" t="s">
        <v>1313</v>
      </c>
      <c r="G32" s="116" t="str">
        <f>TEXT(MC_2[[#This Row],[Date]],"mmm-yy")</f>
        <v>Jul-25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45869</v>
      </c>
      <c r="C33" s="114">
        <f>YEAR(MC_2[[#This Row],[Date]])+IF(MONTH(MC_2[[#This Row],[Date]])&gt;=4,1,0)</f>
        <v>2026</v>
      </c>
      <c r="D33" s="115">
        <f>YEAR(MC_2[[#This Row],[Date]])</f>
        <v>2025</v>
      </c>
      <c r="E33" s="112" t="s">
        <v>1313</v>
      </c>
      <c r="F33" s="112" t="s">
        <v>1313</v>
      </c>
      <c r="G33" s="116" t="str">
        <f>TEXT(MC_2[[#This Row],[Date]],"mmm-yy")</f>
        <v>Jul-25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4" width="13.140625" customWidth="1"/>
    <col min="35" max="36" width="11.85546875" bestFit="1" customWidth="1"/>
    <col min="37" max="40" width="13.140625" customWidth="1"/>
    <col min="41" max="41" width="16.140625" customWidth="1"/>
    <col min="42" max="42" width="48.1406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1190</v>
      </c>
      <c r="AN2" s="110" t="s">
        <v>1191</v>
      </c>
      <c r="AO2" s="110" t="s">
        <v>1171</v>
      </c>
    </row>
    <row r="3" spans="1:41">
      <c r="A3" s="112">
        <v>1</v>
      </c>
      <c r="B3" s="113">
        <v>45839</v>
      </c>
      <c r="C3" s="114">
        <f>YEAR(GC[[#This Row],[Date]])+IF(MONTH(GC[[#This Row],[Date]])&gt;=4,1,0)</f>
        <v>2026</v>
      </c>
      <c r="D3" s="115">
        <f>YEAR(GC[[#This Row],[Date]])</f>
        <v>2025</v>
      </c>
      <c r="E3" s="112" t="s">
        <v>1313</v>
      </c>
      <c r="F3" s="112" t="s">
        <v>1313</v>
      </c>
      <c r="G3" s="116" t="str">
        <f>TEXT(GC[[#This Row],[Date]],"mmm-yy")</f>
        <v>Jul-25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45840</v>
      </c>
      <c r="C4" s="114">
        <f>YEAR(GC[[#This Row],[Date]])+IF(MONTH(GC[[#This Row],[Date]])&gt;=4,1,0)</f>
        <v>2026</v>
      </c>
      <c r="D4" s="115">
        <f>YEAR(GC[[#This Row],[Date]])</f>
        <v>2025</v>
      </c>
      <c r="E4" s="112" t="s">
        <v>1313</v>
      </c>
      <c r="F4" s="112" t="s">
        <v>1313</v>
      </c>
      <c r="G4" s="116" t="str">
        <f>TEXT(GC[[#This Row],[Date]],"mmm-yy")</f>
        <v>Jul-25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33" si="0">B4+1</f>
        <v>45841</v>
      </c>
      <c r="C5" s="114">
        <f>YEAR(GC[[#This Row],[Date]])+IF(MONTH(GC[[#This Row],[Date]])&gt;=4,1,0)</f>
        <v>2026</v>
      </c>
      <c r="D5" s="115">
        <f>YEAR(GC[[#This Row],[Date]])</f>
        <v>2025</v>
      </c>
      <c r="E5" s="112" t="s">
        <v>1313</v>
      </c>
      <c r="F5" s="112" t="s">
        <v>1313</v>
      </c>
      <c r="G5" s="116" t="str">
        <f>TEXT(GC[[#This Row],[Date]],"mmm-yy")</f>
        <v>Jul-25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45842</v>
      </c>
      <c r="C6" s="114">
        <f>YEAR(GC[[#This Row],[Date]])+IF(MONTH(GC[[#This Row],[Date]])&gt;=4,1,0)</f>
        <v>2026</v>
      </c>
      <c r="D6" s="115">
        <f>YEAR(GC[[#This Row],[Date]])</f>
        <v>2025</v>
      </c>
      <c r="E6" s="112" t="s">
        <v>1313</v>
      </c>
      <c r="F6" s="112" t="s">
        <v>1313</v>
      </c>
      <c r="G6" s="116" t="str">
        <f>TEXT(GC[[#This Row],[Date]],"mmm-yy")</f>
        <v>Jul-25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45843</v>
      </c>
      <c r="C7" s="114">
        <f>YEAR(GC[[#This Row],[Date]])+IF(MONTH(GC[[#This Row],[Date]])&gt;=4,1,0)</f>
        <v>2026</v>
      </c>
      <c r="D7" s="115">
        <f>YEAR(GC[[#This Row],[Date]])</f>
        <v>2025</v>
      </c>
      <c r="E7" s="112" t="s">
        <v>1313</v>
      </c>
      <c r="F7" s="112" t="s">
        <v>1313</v>
      </c>
      <c r="G7" s="116" t="str">
        <f>TEXT(GC[[#This Row],[Date]],"mmm-yy")</f>
        <v>Jul-25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45844</v>
      </c>
      <c r="C8" s="114">
        <f>YEAR(GC[[#This Row],[Date]])+IF(MONTH(GC[[#This Row],[Date]])&gt;=4,1,0)</f>
        <v>2026</v>
      </c>
      <c r="D8" s="115">
        <f>YEAR(GC[[#This Row],[Date]])</f>
        <v>2025</v>
      </c>
      <c r="E8" s="112" t="s">
        <v>1313</v>
      </c>
      <c r="F8" s="112" t="s">
        <v>1313</v>
      </c>
      <c r="G8" s="116" t="str">
        <f>TEXT(GC[[#This Row],[Date]],"mmm-yy")</f>
        <v>Jul-25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45845</v>
      </c>
      <c r="C9" s="114">
        <f>YEAR(GC[[#This Row],[Date]])+IF(MONTH(GC[[#This Row],[Date]])&gt;=4,1,0)</f>
        <v>2026</v>
      </c>
      <c r="D9" s="115">
        <f>YEAR(GC[[#This Row],[Date]])</f>
        <v>2025</v>
      </c>
      <c r="E9" s="112" t="s">
        <v>1313</v>
      </c>
      <c r="F9" s="112" t="s">
        <v>1313</v>
      </c>
      <c r="G9" s="116" t="str">
        <f>TEXT(GC[[#This Row],[Date]],"mmm-yy")</f>
        <v>Jul-25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45846</v>
      </c>
      <c r="C10" s="114">
        <f>YEAR(GC[[#This Row],[Date]])+IF(MONTH(GC[[#This Row],[Date]])&gt;=4,1,0)</f>
        <v>2026</v>
      </c>
      <c r="D10" s="115">
        <f>YEAR(GC[[#This Row],[Date]])</f>
        <v>2025</v>
      </c>
      <c r="E10" s="112" t="s">
        <v>1313</v>
      </c>
      <c r="F10" s="112" t="s">
        <v>1313</v>
      </c>
      <c r="G10" s="116" t="str">
        <f>TEXT(GC[[#This Row],[Date]],"mmm-yy")</f>
        <v>Jul-25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45847</v>
      </c>
      <c r="C11" s="114">
        <f>YEAR(GC[[#This Row],[Date]])+IF(MONTH(GC[[#This Row],[Date]])&gt;=4,1,0)</f>
        <v>2026</v>
      </c>
      <c r="D11" s="115">
        <f>YEAR(GC[[#This Row],[Date]])</f>
        <v>2025</v>
      </c>
      <c r="E11" s="112" t="s">
        <v>1313</v>
      </c>
      <c r="F11" s="112" t="s">
        <v>1313</v>
      </c>
      <c r="G11" s="116" t="str">
        <f>TEXT(GC[[#This Row],[Date]],"mmm-yy")</f>
        <v>Jul-25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45848</v>
      </c>
      <c r="C12" s="114">
        <f>YEAR(GC[[#This Row],[Date]])+IF(MONTH(GC[[#This Row],[Date]])&gt;=4,1,0)</f>
        <v>2026</v>
      </c>
      <c r="D12" s="115">
        <f>YEAR(GC[[#This Row],[Date]])</f>
        <v>2025</v>
      </c>
      <c r="E12" s="112" t="s">
        <v>1313</v>
      </c>
      <c r="F12" s="112" t="s">
        <v>1313</v>
      </c>
      <c r="G12" s="116" t="str">
        <f>TEXT(GC[[#This Row],[Date]],"mmm-yy")</f>
        <v>Jul-25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45849</v>
      </c>
      <c r="C13" s="114">
        <f>YEAR(GC[[#This Row],[Date]])+IF(MONTH(GC[[#This Row],[Date]])&gt;=4,1,0)</f>
        <v>2026</v>
      </c>
      <c r="D13" s="115">
        <f>YEAR(GC[[#This Row],[Date]])</f>
        <v>2025</v>
      </c>
      <c r="E13" s="112" t="s">
        <v>1313</v>
      </c>
      <c r="F13" s="112" t="s">
        <v>1313</v>
      </c>
      <c r="G13" s="116" t="str">
        <f>TEXT(GC[[#This Row],[Date]],"mmm-yy")</f>
        <v>Jul-25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45850</v>
      </c>
      <c r="C14" s="114">
        <f>YEAR(GC[[#This Row],[Date]])+IF(MONTH(GC[[#This Row],[Date]])&gt;=4,1,0)</f>
        <v>2026</v>
      </c>
      <c r="D14" s="115">
        <f>YEAR(GC[[#This Row],[Date]])</f>
        <v>2025</v>
      </c>
      <c r="E14" s="112" t="s">
        <v>1313</v>
      </c>
      <c r="F14" s="112" t="s">
        <v>1313</v>
      </c>
      <c r="G14" s="116" t="str">
        <f>TEXT(GC[[#This Row],[Date]],"mmm-yy")</f>
        <v>Jul-25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45851</v>
      </c>
      <c r="C15" s="114">
        <f>YEAR(GC[[#This Row],[Date]])+IF(MONTH(GC[[#This Row],[Date]])&gt;=4,1,0)</f>
        <v>2026</v>
      </c>
      <c r="D15" s="115">
        <f>YEAR(GC[[#This Row],[Date]])</f>
        <v>2025</v>
      </c>
      <c r="E15" s="112" t="s">
        <v>1313</v>
      </c>
      <c r="F15" s="112" t="s">
        <v>1313</v>
      </c>
      <c r="G15" s="116" t="str">
        <f>TEXT(GC[[#This Row],[Date]],"mmm-yy")</f>
        <v>Jul-25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45852</v>
      </c>
      <c r="C16" s="114">
        <f>YEAR(GC[[#This Row],[Date]])+IF(MONTH(GC[[#This Row],[Date]])&gt;=4,1,0)</f>
        <v>2026</v>
      </c>
      <c r="D16" s="115">
        <f>YEAR(GC[[#This Row],[Date]])</f>
        <v>2025</v>
      </c>
      <c r="E16" s="112" t="s">
        <v>1313</v>
      </c>
      <c r="F16" s="112" t="s">
        <v>1313</v>
      </c>
      <c r="G16" s="116" t="str">
        <f>TEXT(GC[[#This Row],[Date]],"mmm-yy")</f>
        <v>Jul-25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45853</v>
      </c>
      <c r="C17" s="114">
        <f>YEAR(GC[[#This Row],[Date]])+IF(MONTH(GC[[#This Row],[Date]])&gt;=4,1,0)</f>
        <v>2026</v>
      </c>
      <c r="D17" s="115">
        <f>YEAR(GC[[#This Row],[Date]])</f>
        <v>2025</v>
      </c>
      <c r="E17" s="112" t="s">
        <v>1313</v>
      </c>
      <c r="F17" s="112" t="s">
        <v>1313</v>
      </c>
      <c r="G17" s="116" t="str">
        <f>TEXT(GC[[#This Row],[Date]],"mmm-yy")</f>
        <v>Jul-25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45854</v>
      </c>
      <c r="C18" s="114">
        <f>YEAR(GC[[#This Row],[Date]])+IF(MONTH(GC[[#This Row],[Date]])&gt;=4,1,0)</f>
        <v>2026</v>
      </c>
      <c r="D18" s="115">
        <f>YEAR(GC[[#This Row],[Date]])</f>
        <v>2025</v>
      </c>
      <c r="E18" s="112" t="s">
        <v>1313</v>
      </c>
      <c r="F18" s="112" t="s">
        <v>1313</v>
      </c>
      <c r="G18" s="116" t="str">
        <f>TEXT(GC[[#This Row],[Date]],"mmm-yy")</f>
        <v>Jul-25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45855</v>
      </c>
      <c r="C19" s="114">
        <f>YEAR(GC[[#This Row],[Date]])+IF(MONTH(GC[[#This Row],[Date]])&gt;=4,1,0)</f>
        <v>2026</v>
      </c>
      <c r="D19" s="115">
        <f>YEAR(GC[[#This Row],[Date]])</f>
        <v>2025</v>
      </c>
      <c r="E19" s="112" t="s">
        <v>1313</v>
      </c>
      <c r="F19" s="112" t="s">
        <v>1313</v>
      </c>
      <c r="G19" s="116" t="str">
        <f>TEXT(GC[[#This Row],[Date]],"mmm-yy")</f>
        <v>Jul-25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45856</v>
      </c>
      <c r="C20" s="114">
        <f>YEAR(GC[[#This Row],[Date]])+IF(MONTH(GC[[#This Row],[Date]])&gt;=4,1,0)</f>
        <v>2026</v>
      </c>
      <c r="D20" s="115">
        <f>YEAR(GC[[#This Row],[Date]])</f>
        <v>2025</v>
      </c>
      <c r="E20" s="112" t="s">
        <v>1313</v>
      </c>
      <c r="F20" s="112" t="s">
        <v>1313</v>
      </c>
      <c r="G20" s="116" t="str">
        <f>TEXT(GC[[#This Row],[Date]],"mmm-yy")</f>
        <v>Jul-25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45857</v>
      </c>
      <c r="C21" s="114">
        <f>YEAR(GC[[#This Row],[Date]])+IF(MONTH(GC[[#This Row],[Date]])&gt;=4,1,0)</f>
        <v>2026</v>
      </c>
      <c r="D21" s="115">
        <f>YEAR(GC[[#This Row],[Date]])</f>
        <v>2025</v>
      </c>
      <c r="E21" s="112" t="s">
        <v>1313</v>
      </c>
      <c r="F21" s="112" t="s">
        <v>1313</v>
      </c>
      <c r="G21" s="116" t="str">
        <f>TEXT(GC[[#This Row],[Date]],"mmm-yy")</f>
        <v>Jul-25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45858</v>
      </c>
      <c r="C22" s="114">
        <f>YEAR(GC[[#This Row],[Date]])+IF(MONTH(GC[[#This Row],[Date]])&gt;=4,1,0)</f>
        <v>2026</v>
      </c>
      <c r="D22" s="115">
        <f>YEAR(GC[[#This Row],[Date]])</f>
        <v>2025</v>
      </c>
      <c r="E22" s="112" t="s">
        <v>1313</v>
      </c>
      <c r="F22" s="112" t="s">
        <v>1313</v>
      </c>
      <c r="G22" s="116" t="str">
        <f>TEXT(GC[[#This Row],[Date]],"mmm-yy")</f>
        <v>Jul-25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45859</v>
      </c>
      <c r="C23" s="114">
        <f>YEAR(GC[[#This Row],[Date]])+IF(MONTH(GC[[#This Row],[Date]])&gt;=4,1,0)</f>
        <v>2026</v>
      </c>
      <c r="D23" s="115">
        <f>YEAR(GC[[#This Row],[Date]])</f>
        <v>2025</v>
      </c>
      <c r="E23" s="112" t="s">
        <v>1313</v>
      </c>
      <c r="F23" s="112" t="s">
        <v>1313</v>
      </c>
      <c r="G23" s="116" t="str">
        <f>TEXT(GC[[#This Row],[Date]],"mmm-yy")</f>
        <v>Jul-25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45860</v>
      </c>
      <c r="C24" s="114">
        <f>YEAR(GC[[#This Row],[Date]])+IF(MONTH(GC[[#This Row],[Date]])&gt;=4,1,0)</f>
        <v>2026</v>
      </c>
      <c r="D24" s="115">
        <f>YEAR(GC[[#This Row],[Date]])</f>
        <v>2025</v>
      </c>
      <c r="E24" s="112" t="s">
        <v>1313</v>
      </c>
      <c r="F24" s="112" t="s">
        <v>1313</v>
      </c>
      <c r="G24" s="116" t="str">
        <f>TEXT(GC[[#This Row],[Date]],"mmm-yy")</f>
        <v>Jul-25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45861</v>
      </c>
      <c r="C25" s="114">
        <f>YEAR(GC[[#This Row],[Date]])+IF(MONTH(GC[[#This Row],[Date]])&gt;=4,1,0)</f>
        <v>2026</v>
      </c>
      <c r="D25" s="115">
        <f>YEAR(GC[[#This Row],[Date]])</f>
        <v>2025</v>
      </c>
      <c r="E25" s="112" t="s">
        <v>1313</v>
      </c>
      <c r="F25" s="112" t="s">
        <v>1313</v>
      </c>
      <c r="G25" s="116" t="str">
        <f>TEXT(GC[[#This Row],[Date]],"mmm-yy")</f>
        <v>Jul-25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45862</v>
      </c>
      <c r="C26" s="114">
        <f>YEAR(GC[[#This Row],[Date]])+IF(MONTH(GC[[#This Row],[Date]])&gt;=4,1,0)</f>
        <v>2026</v>
      </c>
      <c r="D26" s="115">
        <f>YEAR(GC[[#This Row],[Date]])</f>
        <v>2025</v>
      </c>
      <c r="E26" s="112" t="s">
        <v>1313</v>
      </c>
      <c r="F26" s="112" t="s">
        <v>1313</v>
      </c>
      <c r="G26" s="116" t="str">
        <f>TEXT(GC[[#This Row],[Date]],"mmm-yy")</f>
        <v>Jul-25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45863</v>
      </c>
      <c r="C27" s="114">
        <f>YEAR(GC[[#This Row],[Date]])+IF(MONTH(GC[[#This Row],[Date]])&gt;=4,1,0)</f>
        <v>2026</v>
      </c>
      <c r="D27" s="115">
        <f>YEAR(GC[[#This Row],[Date]])</f>
        <v>2025</v>
      </c>
      <c r="E27" s="112" t="s">
        <v>1313</v>
      </c>
      <c r="F27" s="112" t="s">
        <v>1313</v>
      </c>
      <c r="G27" s="116" t="str">
        <f>TEXT(GC[[#This Row],[Date]],"mmm-yy")</f>
        <v>Jul-25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45864</v>
      </c>
      <c r="C28" s="114">
        <f>YEAR(GC[[#This Row],[Date]])+IF(MONTH(GC[[#This Row],[Date]])&gt;=4,1,0)</f>
        <v>2026</v>
      </c>
      <c r="D28" s="115">
        <f>YEAR(GC[[#This Row],[Date]])</f>
        <v>2025</v>
      </c>
      <c r="E28" s="112" t="s">
        <v>1313</v>
      </c>
      <c r="F28" s="112" t="s">
        <v>1313</v>
      </c>
      <c r="G28" s="116" t="str">
        <f>TEXT(GC[[#This Row],[Date]],"mmm-yy")</f>
        <v>Jul-25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45865</v>
      </c>
      <c r="C29" s="114">
        <f>YEAR(GC[[#This Row],[Date]])+IF(MONTH(GC[[#This Row],[Date]])&gt;=4,1,0)</f>
        <v>2026</v>
      </c>
      <c r="D29" s="115">
        <f>YEAR(GC[[#This Row],[Date]])</f>
        <v>2025</v>
      </c>
      <c r="E29" s="112" t="s">
        <v>1313</v>
      </c>
      <c r="F29" s="112" t="s">
        <v>1313</v>
      </c>
      <c r="G29" s="116" t="str">
        <f>TEXT(GC[[#This Row],[Date]],"mmm-yy")</f>
        <v>Jul-25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45866</v>
      </c>
      <c r="C30" s="114">
        <f>YEAR(GC[[#This Row],[Date]])+IF(MONTH(GC[[#This Row],[Date]])&gt;=4,1,0)</f>
        <v>2026</v>
      </c>
      <c r="D30" s="115">
        <f>YEAR(GC[[#This Row],[Date]])</f>
        <v>2025</v>
      </c>
      <c r="E30" s="112" t="s">
        <v>1313</v>
      </c>
      <c r="F30" s="112" t="s">
        <v>1313</v>
      </c>
      <c r="G30" s="116" t="str">
        <f>TEXT(GC[[#This Row],[Date]],"mmm-yy")</f>
        <v>Jul-25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45867</v>
      </c>
      <c r="C31" s="114">
        <f>YEAR(GC[[#This Row],[Date]])+IF(MONTH(GC[[#This Row],[Date]])&gt;=4,1,0)</f>
        <v>2026</v>
      </c>
      <c r="D31" s="115">
        <f>YEAR(GC[[#This Row],[Date]])</f>
        <v>2025</v>
      </c>
      <c r="E31" s="112" t="s">
        <v>1313</v>
      </c>
      <c r="F31" s="112" t="s">
        <v>1313</v>
      </c>
      <c r="G31" s="116" t="str">
        <f>TEXT(GC[[#This Row],[Date]],"mmm-yy")</f>
        <v>Jul-25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45868</v>
      </c>
      <c r="C32" s="114">
        <f>YEAR(GC[[#This Row],[Date]])+IF(MONTH(GC[[#This Row],[Date]])&gt;=4,1,0)</f>
        <v>2026</v>
      </c>
      <c r="D32" s="115">
        <f>YEAR(GC[[#This Row],[Date]])</f>
        <v>2025</v>
      </c>
      <c r="E32" s="112" t="s">
        <v>1313</v>
      </c>
      <c r="F32" s="112" t="s">
        <v>1313</v>
      </c>
      <c r="G32" s="116" t="str">
        <f>TEXT(GC[[#This Row],[Date]],"mmm-yy")</f>
        <v>Jul-25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45869</v>
      </c>
      <c r="C33" s="114">
        <f>YEAR(GC[[#This Row],[Date]])+IF(MONTH(GC[[#This Row],[Date]])&gt;=4,1,0)</f>
        <v>2026</v>
      </c>
      <c r="D33" s="115">
        <f>YEAR(GC[[#This Row],[Date]])</f>
        <v>2025</v>
      </c>
      <c r="E33" s="112" t="s">
        <v>1313</v>
      </c>
      <c r="F33" s="112" t="s">
        <v>1313</v>
      </c>
      <c r="G33" s="116" t="str">
        <f>TEXT(GC[[#This Row],[Date]],"mmm-yy")</f>
        <v>Jul-25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5546875" defaultRowHeight="15"/>
  <cols>
    <col min="1" max="1" width="8.85546875" style="9"/>
    <col min="2" max="2" width="9.85546875" style="9" bestFit="1" customWidth="1"/>
    <col min="3" max="3" width="15.85546875" style="9" customWidth="1"/>
    <col min="4" max="6" width="8.85546875" style="9"/>
    <col min="7" max="7" width="20.42578125" style="9" customWidth="1"/>
    <col min="8" max="8" width="8.85546875" style="9"/>
    <col min="9" max="9" width="9.42578125" style="9" bestFit="1" customWidth="1"/>
    <col min="10" max="14" width="8.85546875" style="9"/>
    <col min="15" max="15" width="9.85546875" style="9" bestFit="1" customWidth="1"/>
    <col min="16" max="16" width="11" style="9" customWidth="1"/>
    <col min="17" max="17" width="15.140625" style="9" customWidth="1"/>
    <col min="18" max="19" width="10.85546875" style="9" customWidth="1"/>
    <col min="20" max="20" width="13" style="9" customWidth="1"/>
    <col min="21" max="25" width="12.85546875" style="9" customWidth="1"/>
    <col min="26" max="27" width="14.42578125" style="9" customWidth="1"/>
    <col min="28" max="29" width="15.42578125" style="9" customWidth="1"/>
    <col min="30" max="38" width="9.85546875" style="9" customWidth="1"/>
    <col min="39" max="39" width="11.140625" style="228" customWidth="1"/>
    <col min="40" max="40" width="12.42578125" style="228" bestFit="1" customWidth="1"/>
    <col min="41" max="16384" width="8.85546875" style="9"/>
  </cols>
  <sheetData>
    <row r="1" spans="1:44" ht="45">
      <c r="A1" s="196" t="s">
        <v>6</v>
      </c>
      <c r="B1" s="196" t="s">
        <v>1192</v>
      </c>
      <c r="C1" s="196" t="s">
        <v>1193</v>
      </c>
      <c r="D1" s="196" t="s">
        <v>60</v>
      </c>
      <c r="E1" s="196" t="s">
        <v>1194</v>
      </c>
      <c r="F1" s="196" t="s">
        <v>1195</v>
      </c>
      <c r="G1" s="196" t="s">
        <v>1196</v>
      </c>
      <c r="H1" s="196" t="s">
        <v>1197</v>
      </c>
      <c r="I1" s="196" t="s">
        <v>1198</v>
      </c>
      <c r="J1" s="196" t="s">
        <v>1199</v>
      </c>
      <c r="K1" s="196" t="s">
        <v>1200</v>
      </c>
      <c r="L1" s="196" t="s">
        <v>1201</v>
      </c>
      <c r="M1" s="196" t="s">
        <v>1202</v>
      </c>
      <c r="N1" s="196" t="s">
        <v>1203</v>
      </c>
      <c r="O1" s="196" t="s">
        <v>1204</v>
      </c>
      <c r="P1" s="196" t="s">
        <v>1205</v>
      </c>
      <c r="Q1" s="196" t="s">
        <v>1206</v>
      </c>
      <c r="R1" s="196" t="s">
        <v>1207</v>
      </c>
      <c r="S1" s="196" t="s">
        <v>1208</v>
      </c>
      <c r="T1" s="196" t="s">
        <v>1209</v>
      </c>
      <c r="U1" s="196" t="s">
        <v>1210</v>
      </c>
      <c r="V1" s="196" t="s">
        <v>1211</v>
      </c>
      <c r="W1" s="196" t="s">
        <v>1212</v>
      </c>
      <c r="X1" s="196" t="s">
        <v>1213</v>
      </c>
      <c r="Y1" s="196" t="s">
        <v>1214</v>
      </c>
      <c r="Z1" s="196" t="s">
        <v>1215</v>
      </c>
      <c r="AA1" s="196" t="s">
        <v>1216</v>
      </c>
      <c r="AB1" s="196" t="s">
        <v>1217</v>
      </c>
      <c r="AC1" s="196" t="s">
        <v>1218</v>
      </c>
      <c r="AD1" s="196" t="s">
        <v>1219</v>
      </c>
      <c r="AE1" s="196" t="s">
        <v>1220</v>
      </c>
      <c r="AF1" s="196" t="s">
        <v>1221</v>
      </c>
      <c r="AG1" s="196" t="s">
        <v>1222</v>
      </c>
      <c r="AH1" s="196" t="s">
        <v>1223</v>
      </c>
      <c r="AI1" s="196" t="s">
        <v>1224</v>
      </c>
      <c r="AJ1" s="196" t="s">
        <v>1225</v>
      </c>
      <c r="AK1" s="196" t="s">
        <v>1226</v>
      </c>
      <c r="AL1" s="196" t="s">
        <v>1227</v>
      </c>
      <c r="AM1" s="196" t="s">
        <v>13</v>
      </c>
      <c r="AN1" s="196" t="s">
        <v>14</v>
      </c>
      <c r="AQ1" s="9" t="s">
        <v>335</v>
      </c>
      <c r="AR1" s="179">
        <v>136.82</v>
      </c>
    </row>
    <row r="2" spans="1:44">
      <c r="A2" s="197">
        <v>1</v>
      </c>
      <c r="B2" s="198" t="s">
        <v>1228</v>
      </c>
      <c r="C2" s="197">
        <v>5</v>
      </c>
      <c r="D2" s="198">
        <v>45383</v>
      </c>
      <c r="E2" s="199">
        <f t="shared" ref="E2:E9" si="0">YEAR(D2)</f>
        <v>2024</v>
      </c>
      <c r="F2" s="249" t="s">
        <v>1229</v>
      </c>
      <c r="G2" s="200">
        <f t="shared" ref="G2:G9" si="1">DAY(EOMONTH(D2,0))</f>
        <v>30</v>
      </c>
      <c r="H2" s="201">
        <v>211.4</v>
      </c>
      <c r="I2" s="201">
        <v>214.2</v>
      </c>
      <c r="J2" s="202"/>
      <c r="K2" s="201"/>
      <c r="L2" s="200"/>
      <c r="M2" s="203">
        <v>0</v>
      </c>
      <c r="N2" s="203"/>
      <c r="O2" s="204" t="str">
        <f t="shared" ref="O2:O13" si="2">IFERROR(M2/I2/N2,"")</f>
        <v/>
      </c>
      <c r="P2" s="202">
        <f t="shared" ref="P2:P13" si="3">IFERROR(I2/G2,"")</f>
        <v>7.14</v>
      </c>
      <c r="Q2" s="200">
        <f>COUNTIFS('Daily KPI'!$D:$D,D2,'Daily KPI'!$K:$K,"&gt;0")</f>
        <v>0</v>
      </c>
      <c r="R2" s="203">
        <f t="shared" ref="R2:R13" si="4">I2/G2*Q2</f>
        <v>0</v>
      </c>
      <c r="S2" s="203">
        <f>SUMIF($F$2:F2,F2,$R$2:R2)</f>
        <v>0</v>
      </c>
      <c r="T2" s="202">
        <f t="shared" ref="T2:T13" si="5">M2/G2</f>
        <v>0</v>
      </c>
      <c r="U2" s="203">
        <f t="shared" ref="U2:U13" si="6">M2/G2*Q2</f>
        <v>0</v>
      </c>
      <c r="V2" s="203">
        <f>SUMIF($F$2:F2,F2,$U$2:U2)</f>
        <v>0</v>
      </c>
      <c r="W2" s="204" t="str">
        <f t="shared" ref="W2:W13" si="7">IFERROR(T2/(24*N2),"")</f>
        <v/>
      </c>
      <c r="X2" s="204" t="str">
        <f t="shared" ref="X2:X25" si="8">IFERROR(U2/(24*N2*Q2),"")</f>
        <v/>
      </c>
      <c r="Y2" s="204" t="str">
        <f t="shared" ref="Y2:Y19" si="9">IFERROR(V2/(24*N2*SUMIFS($Q:$Q,$F:$F,$F2,$D:$D,"&lt;="&amp;D2)),"")</f>
        <v/>
      </c>
      <c r="Z2" s="202">
        <f>IFERROR(AVERAGEIF('Daily KPI'!D:D,Table14[[#This Row],[Month]],'Daily KPI'!AB:AB),0)</f>
        <v>0</v>
      </c>
      <c r="AA2" s="201">
        <f>IFERROR(AVERAGEIF($F$2:F2,F2,$Z$2:Z2),"")</f>
        <v>0</v>
      </c>
      <c r="AB2" s="203"/>
      <c r="AC2" s="202"/>
      <c r="AD2" s="202"/>
      <c r="AE2" s="204">
        <v>0.995</v>
      </c>
      <c r="AF2" s="204">
        <v>0.995</v>
      </c>
      <c r="AG2" s="204"/>
      <c r="AH2" s="204"/>
      <c r="AI2" s="204"/>
      <c r="AJ2" s="204"/>
      <c r="AK2" s="204"/>
      <c r="AL2" s="204"/>
      <c r="AM2" s="225">
        <f>SUMIF('Daily KPI'!$D:$D,$D2,'Daily KPI'!AS:AS)</f>
        <v>0</v>
      </c>
      <c r="AN2" s="225">
        <f>SUMIF($F$2:F2,F2,$AM$2:AM2)</f>
        <v>0</v>
      </c>
    </row>
    <row r="3" spans="1:44">
      <c r="A3" s="197">
        <f t="shared" ref="A3:A25" si="10">A2+1</f>
        <v>2</v>
      </c>
      <c r="B3" s="205" t="s">
        <v>1230</v>
      </c>
      <c r="C3" s="197">
        <v>6</v>
      </c>
      <c r="D3" s="205">
        <v>45413</v>
      </c>
      <c r="E3" s="206">
        <f t="shared" si="0"/>
        <v>2024</v>
      </c>
      <c r="F3" s="249" t="s">
        <v>1229</v>
      </c>
      <c r="G3" s="197">
        <f t="shared" si="1"/>
        <v>31</v>
      </c>
      <c r="H3" s="207">
        <v>219.5</v>
      </c>
      <c r="I3" s="207">
        <v>213.6</v>
      </c>
      <c r="J3" s="208"/>
      <c r="K3" s="207"/>
      <c r="L3" s="197"/>
      <c r="M3" s="209">
        <v>8914.1690998165868</v>
      </c>
      <c r="N3" s="209">
        <v>50.959999999999994</v>
      </c>
      <c r="O3" s="210">
        <f t="shared" si="2"/>
        <v>0.81893644826600687</v>
      </c>
      <c r="P3" s="208">
        <f t="shared" si="3"/>
        <v>6.8903225806451607</v>
      </c>
      <c r="Q3" s="197">
        <f>COUNTIFS('Daily KPI'!$D:$D,D3,'Daily KPI'!$K:$K,"&gt;0")</f>
        <v>0</v>
      </c>
      <c r="R3" s="209">
        <f t="shared" si="4"/>
        <v>0</v>
      </c>
      <c r="S3" s="209">
        <f>SUMIF($F$2:F3,F3,$R$2:R3)</f>
        <v>0</v>
      </c>
      <c r="T3" s="208">
        <f t="shared" si="5"/>
        <v>287.55384192956734</v>
      </c>
      <c r="U3" s="209">
        <f t="shared" si="6"/>
        <v>0</v>
      </c>
      <c r="V3" s="209">
        <f>SUMIF($F$2:F3,F3,$U$2:U3)</f>
        <v>0</v>
      </c>
      <c r="W3" s="210">
        <f t="shared" si="7"/>
        <v>0.23511401256669229</v>
      </c>
      <c r="X3" s="210" t="str">
        <f t="shared" si="8"/>
        <v/>
      </c>
      <c r="Y3" s="210" t="str">
        <f t="shared" si="9"/>
        <v/>
      </c>
      <c r="Z3" s="208">
        <f>IFERROR(AVERAGEIF('Daily KPI'!D:D,Table14[[#This Row],[Month]],'Daily KPI'!AB:AB),0)</f>
        <v>0</v>
      </c>
      <c r="AA3" s="201">
        <f>IFERROR(AVERAGEIF($F$2:F3,F3,$Z$2:Z3),"")</f>
        <v>0</v>
      </c>
      <c r="AB3" s="209"/>
      <c r="AC3" s="208"/>
      <c r="AD3" s="208"/>
      <c r="AE3" s="204">
        <v>0.995</v>
      </c>
      <c r="AF3" s="204">
        <v>0.995</v>
      </c>
      <c r="AG3" s="210"/>
      <c r="AH3" s="210"/>
      <c r="AI3" s="210"/>
      <c r="AJ3" s="210"/>
      <c r="AK3" s="210"/>
      <c r="AL3" s="210"/>
      <c r="AM3" s="226">
        <f>SUMIF('Daily KPI'!$D:$D,$D3,'Daily KPI'!AS:AS)</f>
        <v>0</v>
      </c>
      <c r="AN3" s="226">
        <f>SUMIF($F$2:F3,F3,$AM$2:AM3)</f>
        <v>0</v>
      </c>
    </row>
    <row r="4" spans="1:44">
      <c r="A4" s="197">
        <f t="shared" si="10"/>
        <v>3</v>
      </c>
      <c r="B4" s="198" t="s">
        <v>1231</v>
      </c>
      <c r="C4" s="197">
        <v>7</v>
      </c>
      <c r="D4" s="198">
        <v>45444</v>
      </c>
      <c r="E4" s="199">
        <f t="shared" si="0"/>
        <v>2024</v>
      </c>
      <c r="F4" s="249" t="s">
        <v>1229</v>
      </c>
      <c r="G4" s="200">
        <f t="shared" si="1"/>
        <v>30</v>
      </c>
      <c r="H4" s="201">
        <v>155.19999999999999</v>
      </c>
      <c r="I4" s="201">
        <v>149.1</v>
      </c>
      <c r="J4" s="202"/>
      <c r="K4" s="201"/>
      <c r="L4" s="200"/>
      <c r="M4" s="203">
        <v>6430.6478172716343</v>
      </c>
      <c r="N4" s="203">
        <v>50.959999999999994</v>
      </c>
      <c r="O4" s="204">
        <f t="shared" si="2"/>
        <v>0.84634544805089507</v>
      </c>
      <c r="P4" s="202">
        <f t="shared" si="3"/>
        <v>4.97</v>
      </c>
      <c r="Q4" s="200">
        <f>COUNTIFS('Daily KPI'!$D:$D,D4,'Daily KPI'!$K:$K,"&gt;0")</f>
        <v>0</v>
      </c>
      <c r="R4" s="203">
        <f t="shared" si="4"/>
        <v>0</v>
      </c>
      <c r="S4" s="203">
        <f>SUMIF($F$2:F4,F4,$R$2:R4)</f>
        <v>0</v>
      </c>
      <c r="T4" s="202">
        <f t="shared" si="5"/>
        <v>214.35492724238782</v>
      </c>
      <c r="U4" s="203">
        <f t="shared" si="6"/>
        <v>0</v>
      </c>
      <c r="V4" s="203">
        <f>SUMIF($F$2:F4,F4,$U$2:U4)</f>
        <v>0</v>
      </c>
      <c r="W4" s="204">
        <f t="shared" si="7"/>
        <v>0.17526403653387282</v>
      </c>
      <c r="X4" s="204" t="str">
        <f t="shared" si="8"/>
        <v/>
      </c>
      <c r="Y4" s="204" t="str">
        <f t="shared" si="9"/>
        <v/>
      </c>
      <c r="Z4" s="202">
        <f>IFERROR(AVERAGEIF('Daily KPI'!D:D,Table14[[#This Row],[Month]],'Daily KPI'!AB:AB),0)</f>
        <v>0</v>
      </c>
      <c r="AA4" s="201">
        <f>IFERROR(AVERAGEIF($F$2:F4,F4,$Z$2:Z4),"")</f>
        <v>0</v>
      </c>
      <c r="AB4" s="203"/>
      <c r="AC4" s="202"/>
      <c r="AD4" s="202"/>
      <c r="AE4" s="204">
        <v>0.995</v>
      </c>
      <c r="AF4" s="204">
        <v>0.995</v>
      </c>
      <c r="AG4" s="204"/>
      <c r="AH4" s="204"/>
      <c r="AI4" s="204"/>
      <c r="AJ4" s="204"/>
      <c r="AK4" s="204"/>
      <c r="AL4" s="204"/>
      <c r="AM4" s="226">
        <f>SUMIF('Daily KPI'!$D:$D,$D4,'Daily KPI'!AS:AS)</f>
        <v>0</v>
      </c>
      <c r="AN4" s="226">
        <f>SUMIF($F$2:F4,F4,$AM$2:AM4)</f>
        <v>0</v>
      </c>
    </row>
    <row r="5" spans="1:44">
      <c r="A5" s="197">
        <f t="shared" si="10"/>
        <v>4</v>
      </c>
      <c r="B5" s="205" t="s">
        <v>1232</v>
      </c>
      <c r="C5" s="197">
        <v>8</v>
      </c>
      <c r="D5" s="205">
        <v>45474</v>
      </c>
      <c r="E5" s="206">
        <f t="shared" si="0"/>
        <v>2024</v>
      </c>
      <c r="F5" s="249" t="s">
        <v>1229</v>
      </c>
      <c r="G5" s="197">
        <f t="shared" si="1"/>
        <v>31</v>
      </c>
      <c r="H5" s="207">
        <v>121.5</v>
      </c>
      <c r="I5" s="207">
        <v>117.7</v>
      </c>
      <c r="J5" s="208"/>
      <c r="K5" s="207"/>
      <c r="L5" s="197"/>
      <c r="M5" s="209">
        <v>7423.9879048760449</v>
      </c>
      <c r="N5" s="209">
        <v>83.157499999999999</v>
      </c>
      <c r="O5" s="210">
        <f t="shared" si="2"/>
        <v>0.75850660746777687</v>
      </c>
      <c r="P5" s="208">
        <f t="shared" si="3"/>
        <v>3.7967741935483872</v>
      </c>
      <c r="Q5" s="197">
        <f>COUNTIFS('Daily KPI'!$D:$D,D5,'Daily KPI'!$K:$K,"&gt;0")</f>
        <v>0</v>
      </c>
      <c r="R5" s="209">
        <f t="shared" si="4"/>
        <v>0</v>
      </c>
      <c r="S5" s="209">
        <f>SUMIF($F$2:F5,F5,$R$2:R5)</f>
        <v>0</v>
      </c>
      <c r="T5" s="208">
        <f t="shared" si="5"/>
        <v>239.48348080245307</v>
      </c>
      <c r="U5" s="209">
        <f t="shared" si="6"/>
        <v>0</v>
      </c>
      <c r="V5" s="209">
        <f>SUMIF($F$2:F5,F5,$U$2:U5)</f>
        <v>0</v>
      </c>
      <c r="W5" s="210">
        <f t="shared" si="7"/>
        <v>0.11999492970289966</v>
      </c>
      <c r="X5" s="210" t="str">
        <f t="shared" si="8"/>
        <v/>
      </c>
      <c r="Y5" s="210" t="str">
        <f t="shared" si="9"/>
        <v/>
      </c>
      <c r="Z5" s="208">
        <f>IFERROR(AVERAGEIF('Daily KPI'!D:D,Table14[[#This Row],[Month]],'Daily KPI'!AB:AB),0)</f>
        <v>0</v>
      </c>
      <c r="AA5" s="201">
        <f>IFERROR(AVERAGEIF($F$2:F5,F5,$Z$2:Z5),"")</f>
        <v>0</v>
      </c>
      <c r="AB5" s="209"/>
      <c r="AC5" s="208"/>
      <c r="AD5" s="208"/>
      <c r="AE5" s="204">
        <v>0.995</v>
      </c>
      <c r="AF5" s="204">
        <v>0.995</v>
      </c>
      <c r="AG5" s="210"/>
      <c r="AH5" s="210"/>
      <c r="AI5" s="210"/>
      <c r="AJ5" s="210"/>
      <c r="AK5" s="210"/>
      <c r="AL5" s="210"/>
      <c r="AM5" s="226">
        <f>SUMIF('Daily KPI'!$D:$D,$D5,'Daily KPI'!AS:AS)</f>
        <v>0</v>
      </c>
      <c r="AN5" s="226">
        <f>SUMIF($F$2:F5,F5,$AM$2:AM5)</f>
        <v>0</v>
      </c>
    </row>
    <row r="6" spans="1:44">
      <c r="A6" s="197">
        <f t="shared" si="10"/>
        <v>5</v>
      </c>
      <c r="B6" s="198" t="s">
        <v>1233</v>
      </c>
      <c r="C6" s="197">
        <v>9</v>
      </c>
      <c r="D6" s="198">
        <v>45505</v>
      </c>
      <c r="E6" s="199">
        <f t="shared" si="0"/>
        <v>2024</v>
      </c>
      <c r="F6" s="249" t="s">
        <v>1229</v>
      </c>
      <c r="G6" s="200">
        <f t="shared" si="1"/>
        <v>31</v>
      </c>
      <c r="H6" s="201">
        <v>124.7</v>
      </c>
      <c r="I6" s="201">
        <v>123.5</v>
      </c>
      <c r="J6" s="202"/>
      <c r="K6" s="201"/>
      <c r="L6" s="200"/>
      <c r="M6" s="203">
        <v>8136.5382675204819</v>
      </c>
      <c r="N6" s="203">
        <v>83.157499999999999</v>
      </c>
      <c r="O6" s="204">
        <f t="shared" si="2"/>
        <v>0.79226649372074509</v>
      </c>
      <c r="P6" s="202">
        <f t="shared" si="3"/>
        <v>3.9838709677419355</v>
      </c>
      <c r="Q6" s="200">
        <f>COUNTIFS('Daily KPI'!$D:$D,D6,'Daily KPI'!$K:$K,"&gt;0")</f>
        <v>0</v>
      </c>
      <c r="R6" s="203">
        <f t="shared" si="4"/>
        <v>0</v>
      </c>
      <c r="S6" s="203">
        <f>SUMIF($F$2:F6,F6,$R$2:R6)</f>
        <v>0</v>
      </c>
      <c r="T6" s="202">
        <f t="shared" si="5"/>
        <v>262.46897637162846</v>
      </c>
      <c r="U6" s="203">
        <f t="shared" si="6"/>
        <v>0</v>
      </c>
      <c r="V6" s="203">
        <f>SUMIF($F$2:F6,F6,$U$2:U6)</f>
        <v>0</v>
      </c>
      <c r="W6" s="204">
        <f t="shared" si="7"/>
        <v>0.13151197846036561</v>
      </c>
      <c r="X6" s="204" t="str">
        <f t="shared" si="8"/>
        <v/>
      </c>
      <c r="Y6" s="204" t="str">
        <f t="shared" si="9"/>
        <v/>
      </c>
      <c r="Z6" s="202">
        <f>IFERROR(AVERAGEIF('Daily KPI'!D:D,Table14[[#This Row],[Month]],'Daily KPI'!AB:AB),0)</f>
        <v>0</v>
      </c>
      <c r="AA6" s="201">
        <f>IFERROR(AVERAGEIF($F$2:F6,F6,$Z$2:Z6),"")</f>
        <v>0</v>
      </c>
      <c r="AB6" s="203"/>
      <c r="AC6" s="202"/>
      <c r="AD6" s="202"/>
      <c r="AE6" s="204">
        <v>0.995</v>
      </c>
      <c r="AF6" s="204">
        <v>0.995</v>
      </c>
      <c r="AG6" s="204"/>
      <c r="AH6" s="204"/>
      <c r="AI6" s="204"/>
      <c r="AJ6" s="204"/>
      <c r="AK6" s="204"/>
      <c r="AL6" s="204"/>
      <c r="AM6" s="226">
        <f>SUMIF('Daily KPI'!$D:$D,$D6,'Daily KPI'!AS:AS)</f>
        <v>0</v>
      </c>
      <c r="AN6" s="226">
        <f>SUMIF($F$2:F6,F6,$AM$2:AM6)</f>
        <v>0</v>
      </c>
    </row>
    <row r="7" spans="1:44">
      <c r="A7" s="197">
        <f t="shared" si="10"/>
        <v>6</v>
      </c>
      <c r="B7" s="205" t="s">
        <v>1234</v>
      </c>
      <c r="C7" s="197">
        <v>10</v>
      </c>
      <c r="D7" s="205">
        <v>45536</v>
      </c>
      <c r="E7" s="206">
        <f t="shared" si="0"/>
        <v>2024</v>
      </c>
      <c r="F7" s="249" t="s">
        <v>1229</v>
      </c>
      <c r="G7" s="197">
        <f t="shared" si="1"/>
        <v>30</v>
      </c>
      <c r="H7" s="207">
        <v>146.30000000000001</v>
      </c>
      <c r="I7" s="207">
        <v>150.5</v>
      </c>
      <c r="J7" s="208"/>
      <c r="K7" s="207"/>
      <c r="L7" s="197"/>
      <c r="M7" s="209">
        <v>10149.158824836317</v>
      </c>
      <c r="N7" s="209">
        <v>83.157499999999999</v>
      </c>
      <c r="O7" s="210">
        <f t="shared" si="2"/>
        <v>0.81094635193904185</v>
      </c>
      <c r="P7" s="208">
        <f t="shared" si="3"/>
        <v>5.0166666666666666</v>
      </c>
      <c r="Q7" s="197">
        <f>COUNTIFS('Daily KPI'!$D:$D,D7,'Daily KPI'!$K:$K,"&gt;0")</f>
        <v>0</v>
      </c>
      <c r="R7" s="209">
        <f t="shared" si="4"/>
        <v>0</v>
      </c>
      <c r="S7" s="209">
        <f>SUMIF($F$2:F7,F7,$R$2:R7)</f>
        <v>0</v>
      </c>
      <c r="T7" s="208">
        <f t="shared" si="5"/>
        <v>338.30529416121055</v>
      </c>
      <c r="U7" s="209">
        <f t="shared" si="6"/>
        <v>0</v>
      </c>
      <c r="V7" s="209">
        <f>SUMIF($F$2:F7,F7,$U$2:U7)</f>
        <v>0</v>
      </c>
      <c r="W7" s="210">
        <f t="shared" si="7"/>
        <v>0.16951031384281362</v>
      </c>
      <c r="X7" s="210" t="str">
        <f t="shared" si="8"/>
        <v/>
      </c>
      <c r="Y7" s="210" t="str">
        <f t="shared" si="9"/>
        <v/>
      </c>
      <c r="Z7" s="208">
        <f>IFERROR(AVERAGEIF('Daily KPI'!D:D,Table14[[#This Row],[Month]],'Daily KPI'!AB:AB),0)</f>
        <v>0</v>
      </c>
      <c r="AA7" s="201">
        <f>IFERROR(AVERAGEIF($F$2:F7,F7,$Z$2:Z7),"")</f>
        <v>0</v>
      </c>
      <c r="AB7" s="209"/>
      <c r="AC7" s="208"/>
      <c r="AD7" s="208"/>
      <c r="AE7" s="204">
        <v>0.995</v>
      </c>
      <c r="AF7" s="204">
        <v>0.995</v>
      </c>
      <c r="AG7" s="210"/>
      <c r="AH7" s="210"/>
      <c r="AI7" s="210"/>
      <c r="AJ7" s="210"/>
      <c r="AK7" s="210"/>
      <c r="AL7" s="210"/>
      <c r="AM7" s="226">
        <f>SUMIF('Daily KPI'!$D:$D,$D7,'Daily KPI'!AS:AS)</f>
        <v>0</v>
      </c>
      <c r="AN7" s="226">
        <f>SUMIF($F$2:F7,F7,$AM$2:AM7)</f>
        <v>0</v>
      </c>
    </row>
    <row r="8" spans="1:44">
      <c r="A8" s="197">
        <f t="shared" si="10"/>
        <v>7</v>
      </c>
      <c r="B8" s="198" t="s">
        <v>1235</v>
      </c>
      <c r="C8" s="197">
        <v>11</v>
      </c>
      <c r="D8" s="198">
        <v>45566</v>
      </c>
      <c r="E8" s="199">
        <f t="shared" si="0"/>
        <v>2024</v>
      </c>
      <c r="F8" s="249" t="s">
        <v>1229</v>
      </c>
      <c r="G8" s="200">
        <f t="shared" si="1"/>
        <v>31</v>
      </c>
      <c r="H8" s="201">
        <v>165.6</v>
      </c>
      <c r="I8" s="201">
        <v>180.6</v>
      </c>
      <c r="J8" s="202"/>
      <c r="K8" s="201"/>
      <c r="L8" s="200"/>
      <c r="M8" s="203">
        <v>17354.208132459316</v>
      </c>
      <c r="N8" s="203">
        <v>136.82</v>
      </c>
      <c r="O8" s="204">
        <f t="shared" si="2"/>
        <v>0.70232393558201034</v>
      </c>
      <c r="P8" s="202">
        <f t="shared" si="3"/>
        <v>5.8258064516129027</v>
      </c>
      <c r="Q8" s="200">
        <f>COUNTIFS('Daily KPI'!$D:$D,D8,'Daily KPI'!$K:$K,"&gt;0")</f>
        <v>0</v>
      </c>
      <c r="R8" s="203">
        <f t="shared" si="4"/>
        <v>0</v>
      </c>
      <c r="S8" s="203">
        <f>SUMIF($F$2:F8,F8,$R$2:R8)</f>
        <v>0</v>
      </c>
      <c r="T8" s="202">
        <f t="shared" si="5"/>
        <v>559.81316556320371</v>
      </c>
      <c r="U8" s="203">
        <f t="shared" si="6"/>
        <v>0</v>
      </c>
      <c r="V8" s="203">
        <f>SUMIF($F$2:F8,F8,$U$2:U8)</f>
        <v>0</v>
      </c>
      <c r="W8" s="204">
        <f t="shared" si="7"/>
        <v>0.1704834714598267</v>
      </c>
      <c r="X8" s="204" t="str">
        <f t="shared" si="8"/>
        <v/>
      </c>
      <c r="Y8" s="204" t="str">
        <f t="shared" si="9"/>
        <v/>
      </c>
      <c r="Z8" s="202">
        <f>IFERROR(AVERAGEIF('Daily KPI'!D:D,Table14[[#This Row],[Month]],'Daily KPI'!AB:AB),0)</f>
        <v>0</v>
      </c>
      <c r="AA8" s="201">
        <f>IFERROR(AVERAGEIF($F$2:F8,F8,$Z$2:Z8),"")</f>
        <v>0</v>
      </c>
      <c r="AB8" s="203"/>
      <c r="AC8" s="202"/>
      <c r="AD8" s="202"/>
      <c r="AE8" s="204">
        <v>0.995</v>
      </c>
      <c r="AF8" s="204">
        <v>0.995</v>
      </c>
      <c r="AG8" s="204"/>
      <c r="AH8" s="204"/>
      <c r="AI8" s="204"/>
      <c r="AJ8" s="204"/>
      <c r="AK8" s="204"/>
      <c r="AL8" s="204"/>
      <c r="AM8" s="226">
        <f>SUMIF('Daily KPI'!$D:$D,$D8,'Daily KPI'!AS:AS)</f>
        <v>0</v>
      </c>
      <c r="AN8" s="226">
        <f>SUMIF($F$2:F8,F8,$AM$2:AM8)</f>
        <v>0</v>
      </c>
    </row>
    <row r="9" spans="1:44">
      <c r="A9" s="197">
        <f t="shared" si="10"/>
        <v>8</v>
      </c>
      <c r="B9" s="205" t="s">
        <v>1236</v>
      </c>
      <c r="C9" s="197">
        <v>12</v>
      </c>
      <c r="D9" s="205">
        <v>45597</v>
      </c>
      <c r="E9" s="206">
        <f t="shared" si="0"/>
        <v>2024</v>
      </c>
      <c r="F9" s="249" t="s">
        <v>1229</v>
      </c>
      <c r="G9" s="197">
        <f t="shared" si="1"/>
        <v>30</v>
      </c>
      <c r="H9" s="207">
        <v>146.1</v>
      </c>
      <c r="I9" s="207">
        <v>167.5</v>
      </c>
      <c r="J9" s="208"/>
      <c r="K9" s="207"/>
      <c r="L9" s="197"/>
      <c r="M9" s="209">
        <v>17240.823729184125</v>
      </c>
      <c r="N9" s="203">
        <v>136.82</v>
      </c>
      <c r="O9" s="210">
        <f t="shared" si="2"/>
        <v>0.75230442128710895</v>
      </c>
      <c r="P9" s="208">
        <f t="shared" si="3"/>
        <v>5.583333333333333</v>
      </c>
      <c r="Q9" s="197">
        <f>COUNTIFS('Daily KPI'!$D:$D,D9,'Daily KPI'!$K:$K,"&gt;0")</f>
        <v>0</v>
      </c>
      <c r="R9" s="209">
        <f t="shared" si="4"/>
        <v>0</v>
      </c>
      <c r="S9" s="209">
        <f>SUMIF($F$2:F9,F9,$R$2:R9)</f>
        <v>0</v>
      </c>
      <c r="T9" s="208">
        <f t="shared" si="5"/>
        <v>574.6941243061375</v>
      </c>
      <c r="U9" s="209">
        <f t="shared" si="6"/>
        <v>0</v>
      </c>
      <c r="V9" s="209">
        <f>SUMIF($F$2:F9,F9,$U$2:U9)</f>
        <v>0</v>
      </c>
      <c r="W9" s="210">
        <f t="shared" si="7"/>
        <v>0.1750152646744316</v>
      </c>
      <c r="X9" s="210" t="str">
        <f t="shared" si="8"/>
        <v/>
      </c>
      <c r="Y9" s="210" t="str">
        <f t="shared" si="9"/>
        <v/>
      </c>
      <c r="Z9" s="208">
        <f>IFERROR(AVERAGEIF('Daily KPI'!D:D,Table14[[#This Row],[Month]],'Daily KPI'!AB:AB),0)</f>
        <v>0</v>
      </c>
      <c r="AA9" s="201">
        <f>IFERROR(AVERAGEIF($F$2:F9,F9,$Z$2:Z9),"")</f>
        <v>0</v>
      </c>
      <c r="AB9" s="209"/>
      <c r="AC9" s="208"/>
      <c r="AD9" s="208"/>
      <c r="AE9" s="204">
        <v>0.995</v>
      </c>
      <c r="AF9" s="204">
        <v>0.995</v>
      </c>
      <c r="AG9" s="210"/>
      <c r="AH9" s="210"/>
      <c r="AI9" s="210"/>
      <c r="AJ9" s="210"/>
      <c r="AK9" s="210"/>
      <c r="AL9" s="210"/>
      <c r="AM9" s="226">
        <f>SUMIF('Daily KPI'!$D:$D,$D9,'Daily KPI'!AS:AS)</f>
        <v>0</v>
      </c>
      <c r="AN9" s="226">
        <f>SUMIF($F$2:F9,F9,$AM$2:AM9)</f>
        <v>0</v>
      </c>
    </row>
    <row r="10" spans="1:44">
      <c r="A10" s="197">
        <f t="shared" si="10"/>
        <v>9</v>
      </c>
      <c r="B10" s="198" t="s">
        <v>1237</v>
      </c>
      <c r="C10" s="197">
        <v>2</v>
      </c>
      <c r="D10" s="198">
        <v>45627</v>
      </c>
      <c r="E10" s="199">
        <f>YEAR(D10)</f>
        <v>2024</v>
      </c>
      <c r="F10" s="249" t="s">
        <v>1229</v>
      </c>
      <c r="G10" s="200">
        <f>DAY(EOMONTH(D10,0))</f>
        <v>31</v>
      </c>
      <c r="H10" s="201">
        <v>140.30000000000001</v>
      </c>
      <c r="I10" s="201">
        <v>165.2</v>
      </c>
      <c r="J10" s="202"/>
      <c r="K10" s="201"/>
      <c r="L10" s="200"/>
      <c r="M10" s="203">
        <v>18551.291339325668</v>
      </c>
      <c r="N10" s="203">
        <v>136.82</v>
      </c>
      <c r="O10" s="204">
        <f t="shared" si="2"/>
        <v>0.82075685146342348</v>
      </c>
      <c r="P10" s="202">
        <f t="shared" si="3"/>
        <v>5.3290322580645162</v>
      </c>
      <c r="Q10" s="200">
        <f>COUNTIFS('Daily KPI'!$D:$D,D10,'Daily KPI'!$K:$K,"&gt;0")</f>
        <v>0</v>
      </c>
      <c r="R10" s="203">
        <f t="shared" si="4"/>
        <v>0</v>
      </c>
      <c r="S10" s="203">
        <f>SUMIF($F$2:F10,F10,$R$2:R10)</f>
        <v>0</v>
      </c>
      <c r="T10" s="202">
        <f t="shared" si="5"/>
        <v>598.4287528814732</v>
      </c>
      <c r="U10" s="203">
        <f t="shared" si="6"/>
        <v>0</v>
      </c>
      <c r="V10" s="203">
        <f>SUMIF($F$2:F10,F10,$U$2:U10)</f>
        <v>0</v>
      </c>
      <c r="W10" s="204">
        <f t="shared" si="7"/>
        <v>0.18224332239483543</v>
      </c>
      <c r="X10" s="204" t="str">
        <f t="shared" si="8"/>
        <v/>
      </c>
      <c r="Y10" s="204" t="str">
        <f t="shared" si="9"/>
        <v/>
      </c>
      <c r="Z10" s="202">
        <f>IFERROR(AVERAGEIF('Daily KPI'!D:D,Table14[[#This Row],[Month]],'Daily KPI'!AB:AB),0)</f>
        <v>0</v>
      </c>
      <c r="AA10" s="201">
        <f>IFERROR(AVERAGEIF($F$2:F10,F10,$Z$2:Z10),"")</f>
        <v>0</v>
      </c>
      <c r="AB10" s="203"/>
      <c r="AC10" s="202"/>
      <c r="AD10" s="202"/>
      <c r="AE10" s="204">
        <v>0.995</v>
      </c>
      <c r="AF10" s="204">
        <v>0.995</v>
      </c>
      <c r="AG10" s="204"/>
      <c r="AH10" s="204"/>
      <c r="AI10" s="204"/>
      <c r="AJ10" s="204"/>
      <c r="AK10" s="204"/>
      <c r="AL10" s="204"/>
      <c r="AM10" s="226">
        <f>SUMIF('Daily KPI'!$D:$D,$D10,'Daily KPI'!AS:AS)</f>
        <v>0</v>
      </c>
      <c r="AN10" s="226">
        <f>SUMIF($F$2:F10,F10,$AM$2:AM10)</f>
        <v>0</v>
      </c>
    </row>
    <row r="11" spans="1:44">
      <c r="A11" s="197">
        <f t="shared" si="10"/>
        <v>10</v>
      </c>
      <c r="B11" s="205" t="s">
        <v>1238</v>
      </c>
      <c r="C11" s="197">
        <v>3</v>
      </c>
      <c r="D11" s="205">
        <v>45658</v>
      </c>
      <c r="E11" s="206">
        <f>YEAR(D11)</f>
        <v>2025</v>
      </c>
      <c r="F11" s="249" t="s">
        <v>1229</v>
      </c>
      <c r="G11" s="197">
        <f>DAY(EOMONTH(D11,0))</f>
        <v>31</v>
      </c>
      <c r="H11" s="207">
        <v>147.30000000000001</v>
      </c>
      <c r="I11" s="207">
        <v>171</v>
      </c>
      <c r="J11" s="208"/>
      <c r="K11" s="207"/>
      <c r="L11" s="197"/>
      <c r="M11" s="209">
        <v>20347.6286237573</v>
      </c>
      <c r="N11" s="203">
        <v>136.82</v>
      </c>
      <c r="O11" s="210">
        <f t="shared" si="2"/>
        <v>0.86969726835178085</v>
      </c>
      <c r="P11" s="208">
        <f t="shared" si="3"/>
        <v>5.5161290322580649</v>
      </c>
      <c r="Q11" s="197">
        <f>COUNTIFS('Daily KPI'!$D:$D,D11,'Daily KPI'!$K:$K,"&gt;0")</f>
        <v>0</v>
      </c>
      <c r="R11" s="209">
        <f t="shared" si="4"/>
        <v>0</v>
      </c>
      <c r="S11" s="209">
        <f>SUMIF($F$2:F11,F11,$R$2:R11)</f>
        <v>0</v>
      </c>
      <c r="T11" s="208">
        <f t="shared" si="5"/>
        <v>656.37511689539679</v>
      </c>
      <c r="U11" s="209">
        <f t="shared" si="6"/>
        <v>0</v>
      </c>
      <c r="V11" s="209">
        <f>SUMIF($F$2:F11,F11,$U$2:U11)</f>
        <v>0</v>
      </c>
      <c r="W11" s="210">
        <f t="shared" si="7"/>
        <v>0.19989009796794963</v>
      </c>
      <c r="X11" s="210" t="str">
        <f t="shared" si="8"/>
        <v/>
      </c>
      <c r="Y11" s="210" t="str">
        <f t="shared" si="9"/>
        <v/>
      </c>
      <c r="Z11" s="208">
        <f>IFERROR(AVERAGEIF('Daily KPI'!D:D,Table14[[#This Row],[Month]],'Daily KPI'!AB:AB),0)</f>
        <v>0</v>
      </c>
      <c r="AA11" s="201">
        <f>IFERROR(AVERAGEIF($F$2:F11,F11,$Z$2:Z11),"")</f>
        <v>0</v>
      </c>
      <c r="AB11" s="209"/>
      <c r="AC11" s="208"/>
      <c r="AD11" s="208"/>
      <c r="AE11" s="204">
        <v>0.995</v>
      </c>
      <c r="AF11" s="204">
        <v>0.995</v>
      </c>
      <c r="AG11" s="210"/>
      <c r="AH11" s="210"/>
      <c r="AI11" s="210"/>
      <c r="AJ11" s="210"/>
      <c r="AK11" s="210"/>
      <c r="AL11" s="210"/>
      <c r="AM11" s="226">
        <f>SUMIF('Daily KPI'!$D:$D,$D11,'Daily KPI'!AS:AS)</f>
        <v>0</v>
      </c>
      <c r="AN11" s="226">
        <f>SUMIF($F$2:F11,F11,$AM$2:AM11)</f>
        <v>0</v>
      </c>
    </row>
    <row r="12" spans="1:44">
      <c r="A12" s="197">
        <f t="shared" si="10"/>
        <v>11</v>
      </c>
      <c r="B12" s="205" t="s">
        <v>1239</v>
      </c>
      <c r="C12" s="197">
        <v>4</v>
      </c>
      <c r="D12" s="205">
        <v>45689</v>
      </c>
      <c r="E12" s="206">
        <f t="shared" ref="E12:E13" si="11">YEAR(D12)</f>
        <v>2025</v>
      </c>
      <c r="F12" s="249" t="s">
        <v>1229</v>
      </c>
      <c r="G12" s="197">
        <f t="shared" ref="G12:G13" si="12">DAY(EOMONTH(D12,0))</f>
        <v>28</v>
      </c>
      <c r="H12" s="207">
        <v>157.69999999999999</v>
      </c>
      <c r="I12" s="207">
        <v>176.7</v>
      </c>
      <c r="J12" s="208"/>
      <c r="K12" s="207"/>
      <c r="L12" s="197"/>
      <c r="M12" s="209">
        <v>19824.225523084078</v>
      </c>
      <c r="N12" s="203">
        <v>136.82</v>
      </c>
      <c r="O12" s="210">
        <f t="shared" si="2"/>
        <v>0.81999290386131363</v>
      </c>
      <c r="P12" s="208">
        <f t="shared" si="3"/>
        <v>6.3107142857142851</v>
      </c>
      <c r="Q12" s="197">
        <f>COUNTIFS('Daily KPI'!$D:$D,D12,'Daily KPI'!$K:$K,"&gt;0")</f>
        <v>0</v>
      </c>
      <c r="R12" s="209">
        <f t="shared" si="4"/>
        <v>0</v>
      </c>
      <c r="S12" s="209">
        <f>SUMIF($F$2:F12,F12,$R$2:R12)</f>
        <v>0</v>
      </c>
      <c r="T12" s="208">
        <f t="shared" si="5"/>
        <v>708.00805439585997</v>
      </c>
      <c r="U12" s="209">
        <f t="shared" si="6"/>
        <v>0</v>
      </c>
      <c r="V12" s="209">
        <f>SUMIF($F$2:F25,F12,$U$2:U25)</f>
        <v>2303.1033926514156</v>
      </c>
      <c r="W12" s="210">
        <f t="shared" si="7"/>
        <v>0.21561420552424718</v>
      </c>
      <c r="X12" s="210" t="str">
        <f t="shared" si="8"/>
        <v/>
      </c>
      <c r="Y12" s="210" t="str">
        <f t="shared" si="9"/>
        <v/>
      </c>
      <c r="Z12" s="208">
        <f>IFERROR(AVERAGEIF('Daily KPI'!D:D,Table14[[#This Row],[Month]],'Daily KPI'!AB:AB),0)</f>
        <v>0</v>
      </c>
      <c r="AA12" s="201">
        <f>IFERROR(AVERAGEIF($F$2:F12,F12,$Z$2:Z12),"")</f>
        <v>0</v>
      </c>
      <c r="AB12" s="209"/>
      <c r="AC12" s="208"/>
      <c r="AD12" s="208"/>
      <c r="AE12" s="204">
        <v>0.995</v>
      </c>
      <c r="AF12" s="204">
        <v>0.995</v>
      </c>
      <c r="AG12" s="210"/>
      <c r="AH12" s="210"/>
      <c r="AI12" s="210"/>
      <c r="AJ12" s="210"/>
      <c r="AK12" s="210"/>
      <c r="AL12" s="210"/>
      <c r="AM12" s="226">
        <f>SUMIF('Daily KPI'!$D:$D,$D12,'Daily KPI'!AS:AS)</f>
        <v>0</v>
      </c>
      <c r="AN12" s="226">
        <f>SUMIF($F$2:F12,F12,$AM$2:AM12)</f>
        <v>0</v>
      </c>
    </row>
    <row r="13" spans="1:44">
      <c r="A13" s="197">
        <f t="shared" si="10"/>
        <v>12</v>
      </c>
      <c r="B13" s="205" t="s">
        <v>1240</v>
      </c>
      <c r="C13" s="197">
        <v>5</v>
      </c>
      <c r="D13" s="205">
        <v>45717</v>
      </c>
      <c r="E13" s="206">
        <f t="shared" si="11"/>
        <v>2025</v>
      </c>
      <c r="F13" s="249" t="s">
        <v>1229</v>
      </c>
      <c r="G13" s="197">
        <f t="shared" si="12"/>
        <v>31</v>
      </c>
      <c r="H13" s="207">
        <v>201.5</v>
      </c>
      <c r="I13" s="207">
        <v>214.6</v>
      </c>
      <c r="J13" s="208"/>
      <c r="K13" s="207"/>
      <c r="L13" s="197"/>
      <c r="M13" s="209">
        <v>23798.73505739796</v>
      </c>
      <c r="N13" s="203">
        <v>136.82</v>
      </c>
      <c r="O13" s="210">
        <f t="shared" si="2"/>
        <v>0.81054022098673606</v>
      </c>
      <c r="P13" s="208">
        <f t="shared" si="3"/>
        <v>6.9225806451612906</v>
      </c>
      <c r="Q13" s="197">
        <f>COUNTIFS('Daily KPI'!$D:$D,D13,'Daily KPI'!$K:$K,"&gt;0")</f>
        <v>3</v>
      </c>
      <c r="R13" s="209">
        <f t="shared" si="4"/>
        <v>20.767741935483873</v>
      </c>
      <c r="S13" s="209">
        <f>SUMIF($F$2:F25,F13,$R$2:R25)</f>
        <v>20.767741935483873</v>
      </c>
      <c r="T13" s="208">
        <f t="shared" si="5"/>
        <v>767.70113088380515</v>
      </c>
      <c r="U13" s="209">
        <f t="shared" si="6"/>
        <v>2303.1033926514156</v>
      </c>
      <c r="V13" s="209">
        <f>SUMIF($F$2:F25,F13,$U$2:U25)</f>
        <v>2303.1033926514156</v>
      </c>
      <c r="W13" s="210">
        <f t="shared" si="7"/>
        <v>0.23379291858031392</v>
      </c>
      <c r="X13" s="210">
        <f t="shared" si="8"/>
        <v>0.23379291858031392</v>
      </c>
      <c r="Y13" s="210">
        <f t="shared" si="9"/>
        <v>0.23379291858031392</v>
      </c>
      <c r="Z13" s="208">
        <f>IFERROR(AVERAGEIF('Daily KPI'!D:D,Table14[[#This Row],[Month]],'Daily KPI'!AB:AB),0)</f>
        <v>97</v>
      </c>
      <c r="AA13" s="201">
        <f>IFERROR(AVERAGEIF($F$2:F13,F13,$Z$2:Z13),"")</f>
        <v>8.0833333333333339</v>
      </c>
      <c r="AB13" s="209"/>
      <c r="AC13" s="208"/>
      <c r="AD13" s="208"/>
      <c r="AE13" s="204">
        <v>0.995</v>
      </c>
      <c r="AF13" s="204">
        <v>0.995</v>
      </c>
      <c r="AG13" s="210"/>
      <c r="AH13" s="210"/>
      <c r="AI13" s="210"/>
      <c r="AJ13" s="210"/>
      <c r="AK13" s="210"/>
      <c r="AL13" s="210"/>
      <c r="AM13" s="226">
        <f>SUMIF('Daily KPI'!$D:$D,$D13,'Daily KPI'!AS:AS)</f>
        <v>1632809.7433649122</v>
      </c>
      <c r="AN13" s="226">
        <f>SUMIF($F$2:F13,F13,$AM$2:AM13)</f>
        <v>1632809.7433649122</v>
      </c>
    </row>
    <row r="14" spans="1:44">
      <c r="A14" s="197">
        <f t="shared" si="10"/>
        <v>13</v>
      </c>
      <c r="B14" s="205" t="str">
        <f>B2</f>
        <v>April</v>
      </c>
      <c r="C14" s="197">
        <f>C2</f>
        <v>5</v>
      </c>
      <c r="D14" s="205">
        <v>45748</v>
      </c>
      <c r="E14" s="206">
        <f t="shared" ref="E14:E16" si="13">YEAR(D14)</f>
        <v>2025</v>
      </c>
      <c r="F14" s="249" t="s">
        <v>1241</v>
      </c>
      <c r="G14" s="197">
        <f t="shared" ref="G14:G16" si="14">DAY(EOMONTH(D14,0))</f>
        <v>30</v>
      </c>
      <c r="H14" s="207">
        <f>H2</f>
        <v>211.4</v>
      </c>
      <c r="I14" s="207">
        <f>I2</f>
        <v>214.2</v>
      </c>
      <c r="J14" s="208"/>
      <c r="K14" s="207"/>
      <c r="L14" s="197"/>
      <c r="M14" s="209">
        <v>21288.830610900219</v>
      </c>
      <c r="N14" s="203">
        <v>130</v>
      </c>
      <c r="O14" s="210">
        <f t="shared" ref="O14:O16" si="15">IFERROR(M14/I14/N14,"")</f>
        <v>0.76452024028227472</v>
      </c>
      <c r="P14" s="208">
        <f t="shared" ref="P14:P16" si="16">IFERROR(I14/G14,"")</f>
        <v>7.14</v>
      </c>
      <c r="Q14" s="197">
        <f>COUNTIFS('Daily KPI'!$D:$D,D14,'Daily KPI'!$K:$K,"&gt;0")</f>
        <v>30</v>
      </c>
      <c r="R14" s="209">
        <f t="shared" ref="R14:R16" si="17">I14/G14*Q14</f>
        <v>214.2</v>
      </c>
      <c r="S14" s="209">
        <f>SUMIF($F$2:F14,F14,$R$2:R14)</f>
        <v>214.2</v>
      </c>
      <c r="T14" s="209">
        <f>M14/G14</f>
        <v>709.62768703000734</v>
      </c>
      <c r="U14" s="209">
        <f>M14/G14*Q14</f>
        <v>21288.830610900219</v>
      </c>
      <c r="V14" s="209">
        <f>SUMIF($F$2:F14,F14,$U$2:U14)</f>
        <v>21288.830610900219</v>
      </c>
      <c r="W14" s="210">
        <f>IFERROR(T14/(24*N14),"")</f>
        <v>0.22744477148397671</v>
      </c>
      <c r="X14" s="210">
        <f t="shared" si="8"/>
        <v>0.22744477148397671</v>
      </c>
      <c r="Y14" s="210">
        <f t="shared" si="9"/>
        <v>0.22744477148397671</v>
      </c>
      <c r="Z14" s="208">
        <f>IFERROR(AVERAGEIF('Daily KPI'!D:D,Table14[[#This Row],[Month]],'Daily KPI'!AB:AB),0)</f>
        <v>103.26666666666667</v>
      </c>
      <c r="AA14" s="201">
        <f>IFERROR(AVERAGEIF($F$2:F14,F14,$Z$2:Z14),"")</f>
        <v>103.26666666666667</v>
      </c>
      <c r="AB14" s="209"/>
      <c r="AC14" s="208"/>
      <c r="AD14" s="208"/>
      <c r="AE14" s="204">
        <v>0.995</v>
      </c>
      <c r="AF14" s="204">
        <v>0.995</v>
      </c>
      <c r="AG14" s="210"/>
      <c r="AH14" s="210"/>
      <c r="AI14" s="210"/>
      <c r="AJ14" s="210"/>
      <c r="AK14" s="210"/>
      <c r="AL14" s="210"/>
      <c r="AM14" s="226">
        <f>SUMIF('Daily KPI'!$D:$D,$D14,'Daily KPI'!AS:AS)</f>
        <v>16910973.649376631</v>
      </c>
      <c r="AN14" s="226">
        <f>SUMIF($F$2:F14,F14,$AM$2:AM14)</f>
        <v>16910973.649376631</v>
      </c>
    </row>
    <row r="15" spans="1:44">
      <c r="A15" s="197">
        <f t="shared" si="10"/>
        <v>14</v>
      </c>
      <c r="B15" s="205" t="str">
        <f t="shared" ref="B15:C25" si="18">B3</f>
        <v>May</v>
      </c>
      <c r="C15" s="197">
        <f t="shared" si="18"/>
        <v>6</v>
      </c>
      <c r="D15" s="205">
        <v>45778</v>
      </c>
      <c r="E15" s="206">
        <f t="shared" si="13"/>
        <v>2025</v>
      </c>
      <c r="F15" s="249" t="s">
        <v>1241</v>
      </c>
      <c r="G15" s="197">
        <f t="shared" si="14"/>
        <v>31</v>
      </c>
      <c r="H15" s="207">
        <f t="shared" ref="H15:I15" si="19">H3</f>
        <v>219.5</v>
      </c>
      <c r="I15" s="207">
        <f t="shared" si="19"/>
        <v>213.6</v>
      </c>
      <c r="J15" s="208"/>
      <c r="K15" s="207"/>
      <c r="L15" s="197"/>
      <c r="M15" s="209">
        <v>22397.613143379167</v>
      </c>
      <c r="N15" s="203">
        <v>130</v>
      </c>
      <c r="O15" s="210">
        <f t="shared" si="15"/>
        <v>0.806597995656121</v>
      </c>
      <c r="P15" s="208">
        <f t="shared" si="16"/>
        <v>6.8903225806451607</v>
      </c>
      <c r="Q15" s="197">
        <f>COUNTIFS('Daily KPI'!$D:$D,D15,'Daily KPI'!$K:$K,"&gt;0")</f>
        <v>31</v>
      </c>
      <c r="R15" s="209">
        <f t="shared" si="17"/>
        <v>213.6</v>
      </c>
      <c r="S15" s="209">
        <f>SUMIF($F$2:F15,F15,$R$2:R15)</f>
        <v>427.79999999999995</v>
      </c>
      <c r="T15" s="208">
        <f t="shared" ref="T15:T16" si="20">M15/G15</f>
        <v>722.50364978642472</v>
      </c>
      <c r="U15" s="209">
        <f t="shared" ref="U15:U16" si="21">M15/G15*Q15</f>
        <v>22397.613143379167</v>
      </c>
      <c r="V15" s="209">
        <f>SUMIF($F$2:F15,F15,$U$2:U15)</f>
        <v>43686.443754279389</v>
      </c>
      <c r="W15" s="210">
        <f t="shared" ref="W15:W16" si="22">IFERROR(T15/(24*N15),"")</f>
        <v>0.23157168262385408</v>
      </c>
      <c r="X15" s="210">
        <f t="shared" si="8"/>
        <v>0.23157168262385408</v>
      </c>
      <c r="Y15" s="210">
        <f t="shared" si="9"/>
        <v>0.22954205419440621</v>
      </c>
      <c r="Z15" s="208">
        <f>IFERROR(AVERAGEIF('Daily KPI'!D:D,Table14[[#This Row],[Month]],'Daily KPI'!AB:AB),0)</f>
        <v>113.89999999999996</v>
      </c>
      <c r="AA15" s="201">
        <f>IFERROR(AVERAGEIF($F$2:F15,F15,$Z$2:Z15),"")</f>
        <v>108.58333333333331</v>
      </c>
      <c r="AB15" s="209"/>
      <c r="AC15" s="208"/>
      <c r="AD15" s="208"/>
      <c r="AE15" s="204">
        <v>0.995</v>
      </c>
      <c r="AF15" s="204">
        <v>0.995</v>
      </c>
      <c r="AG15" s="210"/>
      <c r="AH15" s="210"/>
      <c r="AI15" s="210"/>
      <c r="AJ15" s="210"/>
      <c r="AK15" s="210"/>
      <c r="AL15" s="210"/>
      <c r="AM15" s="226">
        <f>SUMIF('Daily KPI'!$D:$D,$D15,'Daily KPI'!AS:AS)</f>
        <v>19623754.900237598</v>
      </c>
      <c r="AN15" s="226">
        <f>SUMIF($F$2:F15,F15,$AM$2:AM15)</f>
        <v>36534728.549614228</v>
      </c>
    </row>
    <row r="16" spans="1:44">
      <c r="A16" s="197">
        <f t="shared" si="10"/>
        <v>15</v>
      </c>
      <c r="B16" s="205" t="str">
        <f t="shared" si="18"/>
        <v>June</v>
      </c>
      <c r="C16" s="197">
        <f t="shared" si="18"/>
        <v>7</v>
      </c>
      <c r="D16" s="205">
        <v>45809</v>
      </c>
      <c r="E16" s="206">
        <f t="shared" si="13"/>
        <v>2025</v>
      </c>
      <c r="F16" s="249" t="s">
        <v>1241</v>
      </c>
      <c r="G16" s="197">
        <f t="shared" si="14"/>
        <v>30</v>
      </c>
      <c r="H16" s="207">
        <f t="shared" ref="H16:I16" si="23">H4</f>
        <v>155.19999999999999</v>
      </c>
      <c r="I16" s="207">
        <f t="shared" si="23"/>
        <v>149.1</v>
      </c>
      <c r="J16" s="208"/>
      <c r="K16" s="207"/>
      <c r="L16" s="197"/>
      <c r="M16" s="209">
        <v>16321.490274764539</v>
      </c>
      <c r="N16" s="203">
        <v>130</v>
      </c>
      <c r="O16" s="210">
        <f t="shared" si="15"/>
        <v>0.84205181214283342</v>
      </c>
      <c r="P16" s="208">
        <f t="shared" si="16"/>
        <v>4.97</v>
      </c>
      <c r="Q16" s="197">
        <f>COUNTIFS('Daily KPI'!$D:$D,D16,'Daily KPI'!$K:$K,"&gt;0")</f>
        <v>30</v>
      </c>
      <c r="R16" s="209">
        <f t="shared" si="17"/>
        <v>149.1</v>
      </c>
      <c r="S16" s="209">
        <f>SUMIF($F$2:F25,F16,$R$2:R25)</f>
        <v>690.80322580645156</v>
      </c>
      <c r="T16" s="208">
        <f t="shared" si="20"/>
        <v>544.04967582548466</v>
      </c>
      <c r="U16" s="209">
        <f t="shared" si="21"/>
        <v>16321.490274764539</v>
      </c>
      <c r="V16" s="209">
        <f>SUMIF($F$2:F25,F16,$U$2:U25)</f>
        <v>72639.788591487115</v>
      </c>
      <c r="W16" s="210">
        <f t="shared" si="22"/>
        <v>0.17437489609791174</v>
      </c>
      <c r="X16" s="210">
        <f t="shared" si="8"/>
        <v>0.17437489609791174</v>
      </c>
      <c r="Y16" s="210">
        <f t="shared" si="9"/>
        <v>0.25584597277925863</v>
      </c>
      <c r="Z16" s="208">
        <f>IFERROR(AVERAGEIF('Daily KPI'!D:D,Table14[[#This Row],[Month]],'Daily KPI'!AB:AB),0)</f>
        <v>123.42933333333333</v>
      </c>
      <c r="AA16" s="201">
        <f>IFERROR(AVERAGEIF($F$2:F16,F16,$Z$2:Z16),"")</f>
        <v>113.53199999999998</v>
      </c>
      <c r="AB16" s="209"/>
      <c r="AC16" s="208"/>
      <c r="AD16" s="208"/>
      <c r="AE16" s="204">
        <v>0.995</v>
      </c>
      <c r="AF16" s="204">
        <v>0.995</v>
      </c>
      <c r="AG16" s="210"/>
      <c r="AH16" s="210"/>
      <c r="AI16" s="210"/>
      <c r="AJ16" s="210"/>
      <c r="AK16" s="210"/>
      <c r="AL16" s="210"/>
      <c r="AM16" s="226">
        <f>SUMIF('Daily KPI'!$D:$D,$D16,'Daily KPI'!AS:AS)</f>
        <v>15496543.566312855</v>
      </c>
      <c r="AN16" s="226">
        <f>SUMIF($F$2:F16,F16,$AM$2:AM16)</f>
        <v>52031272.115927085</v>
      </c>
    </row>
    <row r="17" spans="1:40">
      <c r="A17" s="197">
        <f t="shared" si="10"/>
        <v>16</v>
      </c>
      <c r="B17" s="205" t="str">
        <f t="shared" si="18"/>
        <v>July</v>
      </c>
      <c r="C17" s="197">
        <f t="shared" si="18"/>
        <v>8</v>
      </c>
      <c r="D17" s="205">
        <v>45839</v>
      </c>
      <c r="E17" s="206">
        <f t="shared" ref="E17:E19" si="24">YEAR(D17)</f>
        <v>2025</v>
      </c>
      <c r="F17" s="249" t="s">
        <v>1241</v>
      </c>
      <c r="G17" s="197">
        <f t="shared" ref="G17:G19" si="25">DAY(EOMONTH(D17,0))</f>
        <v>31</v>
      </c>
      <c r="H17" s="207">
        <f t="shared" ref="H17:I17" si="26">H5</f>
        <v>121.5</v>
      </c>
      <c r="I17" s="207">
        <f t="shared" si="26"/>
        <v>117.7</v>
      </c>
      <c r="J17" s="208"/>
      <c r="K17" s="207"/>
      <c r="L17" s="197"/>
      <c r="M17" s="209">
        <v>13052.916381191299</v>
      </c>
      <c r="N17" s="203">
        <v>130</v>
      </c>
      <c r="O17" s="210">
        <f t="shared" ref="O17:O19" si="27">IFERROR(M17/I17/N17,"")</f>
        <v>0.85307603301688106</v>
      </c>
      <c r="P17" s="208">
        <f t="shared" ref="P17:P19" si="28">IFERROR(I17/G17,"")</f>
        <v>3.7967741935483872</v>
      </c>
      <c r="Q17" s="197">
        <f>COUNTIFS('Daily KPI'!$D:$D,D17,'Daily KPI'!$K:$K,"&gt;0")</f>
        <v>30</v>
      </c>
      <c r="R17" s="209">
        <f t="shared" ref="R17:R19" si="29">I17/G17*Q17</f>
        <v>113.90322580645162</v>
      </c>
      <c r="S17" s="209">
        <f>SUMIF($F$2:F17,F17,$R$2:R17)</f>
        <v>690.80322580645156</v>
      </c>
      <c r="T17" s="208">
        <f t="shared" ref="T17:T19" si="30">M17/G17</f>
        <v>421.06181874810642</v>
      </c>
      <c r="U17" s="209">
        <f t="shared" ref="U17:U19" si="31">M17/G17*Q17</f>
        <v>12631.854562443192</v>
      </c>
      <c r="V17" s="209">
        <f>SUMIF($F$2:F17,F17,$U$2:U17)</f>
        <v>72639.788591487115</v>
      </c>
      <c r="W17" s="210">
        <f t="shared" ref="W17:W19" si="32">IFERROR(T17/(24*N17),"")</f>
        <v>0.13495571113721361</v>
      </c>
      <c r="X17" s="210">
        <f t="shared" si="8"/>
        <v>0.13495571113721358</v>
      </c>
      <c r="Y17" s="210">
        <f t="shared" si="9"/>
        <v>0.19241308696621931</v>
      </c>
      <c r="Z17" s="208">
        <f>IFERROR(AVERAGEIF('Daily KPI'!D:D,Table14[[#This Row],[Month]],'Daily KPI'!AB:AB),0)</f>
        <v>124.23000000000003</v>
      </c>
      <c r="AA17" s="201">
        <f>IFERROR(AVERAGEIF($F$2:F17,F17,$Z$2:Z17),"")</f>
        <v>116.20649999999999</v>
      </c>
      <c r="AB17" s="209"/>
      <c r="AC17" s="208"/>
      <c r="AD17" s="208"/>
      <c r="AE17" s="204">
        <v>0.995</v>
      </c>
      <c r="AF17" s="204">
        <v>0.995</v>
      </c>
      <c r="AG17" s="210"/>
      <c r="AH17" s="210"/>
      <c r="AI17" s="210"/>
      <c r="AJ17" s="210"/>
      <c r="AK17" s="210"/>
      <c r="AL17" s="210"/>
      <c r="AM17" s="226">
        <f>SUMIF('Daily KPI'!$D:$D,$D17,'Daily KPI'!AS:AS)</f>
        <v>12473567.707964584</v>
      </c>
      <c r="AN17" s="226">
        <f>SUMIF($F$2:F17,F17,$AM$2:AM17)</f>
        <v>64504839.82389167</v>
      </c>
    </row>
    <row r="18" spans="1:40">
      <c r="A18" s="197">
        <f t="shared" si="10"/>
        <v>17</v>
      </c>
      <c r="B18" s="205" t="str">
        <f t="shared" si="18"/>
        <v>August</v>
      </c>
      <c r="C18" s="197">
        <f t="shared" si="18"/>
        <v>9</v>
      </c>
      <c r="D18" s="205">
        <v>45870</v>
      </c>
      <c r="E18" s="206">
        <f t="shared" si="24"/>
        <v>2025</v>
      </c>
      <c r="F18" s="249" t="s">
        <v>1241</v>
      </c>
      <c r="G18" s="197">
        <f t="shared" si="25"/>
        <v>31</v>
      </c>
      <c r="H18" s="207">
        <f t="shared" ref="H18:I18" si="33">H6</f>
        <v>124.7</v>
      </c>
      <c r="I18" s="207">
        <f t="shared" si="33"/>
        <v>123.5</v>
      </c>
      <c r="J18" s="208"/>
      <c r="K18" s="207"/>
      <c r="L18" s="197"/>
      <c r="M18" s="209">
        <v>13717.566878477022</v>
      </c>
      <c r="N18" s="203">
        <v>130</v>
      </c>
      <c r="O18" s="210">
        <f t="shared" si="27"/>
        <v>0.85441089246197577</v>
      </c>
      <c r="P18" s="208">
        <f t="shared" si="28"/>
        <v>3.9838709677419355</v>
      </c>
      <c r="Q18" s="197">
        <f>COUNTIFS('Daily KPI'!$D:$D,D18,'Daily KPI'!$K:$K,"&gt;0")</f>
        <v>0</v>
      </c>
      <c r="R18" s="209">
        <f t="shared" si="29"/>
        <v>0</v>
      </c>
      <c r="S18" s="209">
        <f>SUMIF($F$2:F18,F18,$R$2:R18)</f>
        <v>690.80322580645156</v>
      </c>
      <c r="T18" s="208">
        <f t="shared" si="30"/>
        <v>442.50215737022654</v>
      </c>
      <c r="U18" s="209">
        <f t="shared" si="31"/>
        <v>0</v>
      </c>
      <c r="V18" s="209">
        <f>SUMIF($F$2:F18,F18,$U$2:U18)</f>
        <v>72639.788591487115</v>
      </c>
      <c r="W18" s="210">
        <f t="shared" si="32"/>
        <v>0.14182761454173928</v>
      </c>
      <c r="X18" s="210" t="str">
        <f t="shared" si="8"/>
        <v/>
      </c>
      <c r="Y18" s="210">
        <f t="shared" si="9"/>
        <v>0.19241308696621931</v>
      </c>
      <c r="Z18" s="208">
        <f>IFERROR(AVERAGEIF('Daily KPI'!D:D,Table14[[#This Row],[Month]],'Daily KPI'!AB:AB),0)</f>
        <v>0</v>
      </c>
      <c r="AA18" s="201">
        <f>IFERROR(AVERAGEIF($F$2:F18,F18,$Z$2:Z18),"")</f>
        <v>92.965199999999996</v>
      </c>
      <c r="AB18" s="209"/>
      <c r="AC18" s="208"/>
      <c r="AD18" s="208"/>
      <c r="AE18" s="204">
        <v>0.995</v>
      </c>
      <c r="AF18" s="204">
        <v>0.995</v>
      </c>
      <c r="AG18" s="210"/>
      <c r="AH18" s="210"/>
      <c r="AI18" s="210"/>
      <c r="AJ18" s="210"/>
      <c r="AK18" s="210"/>
      <c r="AL18" s="210"/>
      <c r="AM18" s="226">
        <f>SUMIF('Daily KPI'!$D:$D,$D18,'Daily KPI'!AS:AS)</f>
        <v>0</v>
      </c>
      <c r="AN18" s="226">
        <f>SUMIF($F$2:F18,F18,$AM$2:AM18)</f>
        <v>64504839.82389167</v>
      </c>
    </row>
    <row r="19" spans="1:40">
      <c r="A19" s="197">
        <f t="shared" si="10"/>
        <v>18</v>
      </c>
      <c r="B19" s="205" t="str">
        <f t="shared" si="18"/>
        <v>September</v>
      </c>
      <c r="C19" s="197">
        <f t="shared" si="18"/>
        <v>10</v>
      </c>
      <c r="D19" s="205">
        <v>45901</v>
      </c>
      <c r="E19" s="206">
        <f t="shared" si="24"/>
        <v>2025</v>
      </c>
      <c r="F19" s="249" t="s">
        <v>1241</v>
      </c>
      <c r="G19" s="197">
        <f t="shared" si="25"/>
        <v>30</v>
      </c>
      <c r="H19" s="207">
        <f t="shared" ref="H19:I19" si="34">H7</f>
        <v>146.30000000000001</v>
      </c>
      <c r="I19" s="207">
        <f t="shared" si="34"/>
        <v>150.5</v>
      </c>
      <c r="J19" s="208"/>
      <c r="K19" s="207"/>
      <c r="L19" s="197"/>
      <c r="M19" s="209">
        <v>16496.079732519654</v>
      </c>
      <c r="N19" s="203">
        <v>130</v>
      </c>
      <c r="O19" s="210">
        <f t="shared" si="27"/>
        <v>0.84314233235469738</v>
      </c>
      <c r="P19" s="208">
        <f t="shared" si="28"/>
        <v>5.0166666666666666</v>
      </c>
      <c r="Q19" s="197">
        <f>COUNTIFS('Daily KPI'!$D:$D,D19,'Daily KPI'!$K:$K,"&gt;0")</f>
        <v>0</v>
      </c>
      <c r="R19" s="209">
        <f t="shared" si="29"/>
        <v>0</v>
      </c>
      <c r="S19" s="209">
        <f>SUMIF($F$2:F25,F19,$R$2:R25)</f>
        <v>690.80322580645156</v>
      </c>
      <c r="T19" s="208">
        <f t="shared" si="30"/>
        <v>549.86932441732176</v>
      </c>
      <c r="U19" s="209">
        <f t="shared" si="31"/>
        <v>0</v>
      </c>
      <c r="V19" s="209">
        <f>SUMIF($F$2:F25,F19,$U$2:U25)</f>
        <v>72639.788591487115</v>
      </c>
      <c r="W19" s="210">
        <f t="shared" si="32"/>
        <v>0.17624016808247492</v>
      </c>
      <c r="X19" s="210" t="str">
        <f t="shared" si="8"/>
        <v/>
      </c>
      <c r="Y19" s="210">
        <f t="shared" si="9"/>
        <v>0.19241308696621931</v>
      </c>
      <c r="Z19" s="208">
        <f>IFERROR(AVERAGEIF('Daily KPI'!D:D,Table14[[#This Row],[Month]],'Daily KPI'!AB:AB),0)</f>
        <v>0</v>
      </c>
      <c r="AA19" s="201">
        <f>IFERROR(AVERAGEIF($F$2:F19,F19,$Z$2:Z19),"")</f>
        <v>77.470999999999989</v>
      </c>
      <c r="AB19" s="209"/>
      <c r="AC19" s="208"/>
      <c r="AD19" s="208"/>
      <c r="AE19" s="204">
        <v>0.995</v>
      </c>
      <c r="AF19" s="204">
        <v>0.995</v>
      </c>
      <c r="AG19" s="210"/>
      <c r="AH19" s="210"/>
      <c r="AI19" s="210"/>
      <c r="AJ19" s="210"/>
      <c r="AK19" s="210"/>
      <c r="AL19" s="210"/>
      <c r="AM19" s="226">
        <f>SUMIF('Daily KPI'!$D:$D,$D19,'Daily KPI'!AS:AS)</f>
        <v>0</v>
      </c>
      <c r="AN19" s="226">
        <f>SUMIF($F$2:F19,F19,$AM$2:AM19)</f>
        <v>64504839.82389167</v>
      </c>
    </row>
    <row r="20" spans="1:40">
      <c r="A20" s="197">
        <f t="shared" si="10"/>
        <v>19</v>
      </c>
      <c r="B20" s="205" t="str">
        <f>B8</f>
        <v>October</v>
      </c>
      <c r="C20" s="197">
        <f t="shared" ref="C20:C25" si="35">C8</f>
        <v>11</v>
      </c>
      <c r="D20" s="205">
        <v>45931</v>
      </c>
      <c r="E20" s="206">
        <f t="shared" ref="E20:E25" si="36">YEAR(D20)</f>
        <v>2025</v>
      </c>
      <c r="F20" s="249" t="s">
        <v>1241</v>
      </c>
      <c r="G20" s="197">
        <f t="shared" ref="G20:G25" si="37">DAY(EOMONTH(D20,0))</f>
        <v>31</v>
      </c>
      <c r="H20" s="207">
        <f t="shared" ref="H20:I20" si="38">H8</f>
        <v>165.6</v>
      </c>
      <c r="I20" s="207">
        <f t="shared" si="38"/>
        <v>180.6</v>
      </c>
      <c r="J20" s="208"/>
      <c r="K20" s="207"/>
      <c r="L20" s="197"/>
      <c r="M20" s="209">
        <v>19695.672558805851</v>
      </c>
      <c r="N20" s="203">
        <v>130</v>
      </c>
      <c r="O20" s="210">
        <f t="shared" ref="O20:O25" si="39">IFERROR(M20/I20/N20,"")</f>
        <v>0.83889907823519261</v>
      </c>
      <c r="P20" s="208">
        <f t="shared" ref="P20:P25" si="40">IFERROR(I20/G20,"")</f>
        <v>5.8258064516129027</v>
      </c>
      <c r="Q20" s="197">
        <f>COUNTIFS('Daily KPI'!$D:$D,D20,'Daily KPI'!$K:$K,"&gt;0")</f>
        <v>0</v>
      </c>
      <c r="R20" s="209">
        <f t="shared" ref="R20:R25" si="41">I20/G20*Q20</f>
        <v>0</v>
      </c>
      <c r="S20" s="209">
        <f>SUMIF($F$2:F20,F20,$R$2:R20)</f>
        <v>690.80322580645156</v>
      </c>
      <c r="T20" s="208">
        <f t="shared" ref="T20:T25" si="42">M20/G20</f>
        <v>635.34427609051136</v>
      </c>
      <c r="U20" s="209">
        <f t="shared" ref="U20:U25" si="43">M20/G20*Q20</f>
        <v>0</v>
      </c>
      <c r="V20" s="209">
        <f>SUMIF($F$2:F20,F20,$U$2:U20)</f>
        <v>72639.788591487115</v>
      </c>
      <c r="W20" s="210">
        <f t="shared" ref="W20:W25" si="44">IFERROR(T20/(24*N20),"")</f>
        <v>0.20363598592644594</v>
      </c>
      <c r="X20" s="210" t="str">
        <f t="shared" si="8"/>
        <v/>
      </c>
      <c r="Y20" s="210">
        <f t="shared" ref="Y20:Y25" si="45">IFERROR(V20/(24*N20*SUMIFS($Q:$Q,$F:$F,$F20,$D:$D,"&lt;="&amp;D20)),"")</f>
        <v>0.19241308696621931</v>
      </c>
      <c r="Z20" s="208">
        <f>IFERROR(AVERAGEIF('Daily KPI'!D:D,Table14[[#This Row],[Month]],'Daily KPI'!AB:AB),0)</f>
        <v>0</v>
      </c>
      <c r="AA20" s="201">
        <f>IFERROR(AVERAGEIF($F$2:F20,F20,$Z$2:Z20),"")</f>
        <v>66.403714285714287</v>
      </c>
      <c r="AB20" s="209"/>
      <c r="AC20" s="208"/>
      <c r="AD20" s="208"/>
      <c r="AE20" s="204">
        <v>0.995</v>
      </c>
      <c r="AF20" s="204">
        <v>0.995</v>
      </c>
      <c r="AG20" s="210"/>
      <c r="AH20" s="210"/>
      <c r="AI20" s="210"/>
      <c r="AJ20" s="210"/>
      <c r="AK20" s="210"/>
      <c r="AL20" s="210"/>
      <c r="AM20" s="226">
        <f>SUMIF('Daily KPI'!$D:$D,$D20,'Daily KPI'!AS:AS)</f>
        <v>0</v>
      </c>
      <c r="AN20" s="226">
        <f>SUMIF($F$2:F20,F20,$AM$2:AM20)</f>
        <v>64504839.82389167</v>
      </c>
    </row>
    <row r="21" spans="1:40">
      <c r="A21" s="197">
        <f t="shared" si="10"/>
        <v>20</v>
      </c>
      <c r="B21" s="205" t="str">
        <f t="shared" si="18"/>
        <v>November</v>
      </c>
      <c r="C21" s="197">
        <f t="shared" si="35"/>
        <v>12</v>
      </c>
      <c r="D21" s="205">
        <v>45962</v>
      </c>
      <c r="E21" s="206">
        <f t="shared" si="36"/>
        <v>2025</v>
      </c>
      <c r="F21" s="249" t="s">
        <v>1241</v>
      </c>
      <c r="G21" s="197">
        <f t="shared" si="37"/>
        <v>30</v>
      </c>
      <c r="H21" s="207">
        <f t="shared" ref="H21:I21" si="46">H9</f>
        <v>146.1</v>
      </c>
      <c r="I21" s="207">
        <f t="shared" si="46"/>
        <v>167.5</v>
      </c>
      <c r="J21" s="208"/>
      <c r="K21" s="207"/>
      <c r="L21" s="197"/>
      <c r="M21" s="209">
        <v>18545.39626237359</v>
      </c>
      <c r="N21" s="203">
        <v>130</v>
      </c>
      <c r="O21" s="210">
        <f t="shared" si="39"/>
        <v>0.85168295119970561</v>
      </c>
      <c r="P21" s="208">
        <f t="shared" si="40"/>
        <v>5.583333333333333</v>
      </c>
      <c r="Q21" s="197">
        <f>COUNTIFS('Daily KPI'!$D:$D,D21,'Daily KPI'!$K:$K,"&gt;0")</f>
        <v>0</v>
      </c>
      <c r="R21" s="209">
        <f t="shared" si="41"/>
        <v>0</v>
      </c>
      <c r="S21" s="209">
        <f>SUMIF($F$2:F21,F21,$R$2:R21)</f>
        <v>690.80322580645156</v>
      </c>
      <c r="T21" s="208">
        <f t="shared" si="42"/>
        <v>618.17987541245304</v>
      </c>
      <c r="U21" s="209">
        <f t="shared" si="43"/>
        <v>0</v>
      </c>
      <c r="V21" s="209">
        <f>SUMIF($F$2:F21,F21,$U$2:U21)</f>
        <v>72639.788591487115</v>
      </c>
      <c r="W21" s="210">
        <f t="shared" si="44"/>
        <v>0.19813457545270932</v>
      </c>
      <c r="X21" s="210" t="str">
        <f t="shared" si="8"/>
        <v/>
      </c>
      <c r="Y21" s="210">
        <f t="shared" si="45"/>
        <v>0.19241308696621931</v>
      </c>
      <c r="Z21" s="208">
        <f>IFERROR(AVERAGEIF('Daily KPI'!D:D,Table14[[#This Row],[Month]],'Daily KPI'!AB:AB),0)</f>
        <v>0</v>
      </c>
      <c r="AA21" s="201">
        <f>IFERROR(AVERAGEIF($F$2:F21,F21,$Z$2:Z21),"")</f>
        <v>58.103249999999996</v>
      </c>
      <c r="AB21" s="209"/>
      <c r="AC21" s="208"/>
      <c r="AD21" s="208"/>
      <c r="AE21" s="204">
        <v>0.995</v>
      </c>
      <c r="AF21" s="204">
        <v>0.995</v>
      </c>
      <c r="AG21" s="210"/>
      <c r="AH21" s="210"/>
      <c r="AI21" s="210"/>
      <c r="AJ21" s="210"/>
      <c r="AK21" s="210"/>
      <c r="AL21" s="210"/>
      <c r="AM21" s="226">
        <f>SUMIF('Daily KPI'!$D:$D,$D21,'Daily KPI'!AS:AS)</f>
        <v>0</v>
      </c>
      <c r="AN21" s="226">
        <f>SUMIF($F$2:F21,F21,$AM$2:AM21)</f>
        <v>64504839.82389167</v>
      </c>
    </row>
    <row r="22" spans="1:40">
      <c r="A22" s="197">
        <f t="shared" si="10"/>
        <v>21</v>
      </c>
      <c r="B22" s="205" t="str">
        <f t="shared" si="18"/>
        <v>December</v>
      </c>
      <c r="C22" s="197">
        <f t="shared" si="35"/>
        <v>2</v>
      </c>
      <c r="D22" s="205">
        <v>45992</v>
      </c>
      <c r="E22" s="206">
        <f t="shared" si="36"/>
        <v>2025</v>
      </c>
      <c r="F22" s="249" t="s">
        <v>1241</v>
      </c>
      <c r="G22" s="197">
        <f t="shared" si="37"/>
        <v>31</v>
      </c>
      <c r="H22" s="207">
        <f t="shared" ref="H22:I22" si="47">H10</f>
        <v>140.30000000000001</v>
      </c>
      <c r="I22" s="207">
        <f t="shared" si="47"/>
        <v>165.2</v>
      </c>
      <c r="J22" s="208"/>
      <c r="K22" s="207"/>
      <c r="L22" s="197"/>
      <c r="M22" s="209">
        <v>18457.393547743763</v>
      </c>
      <c r="N22" s="203">
        <v>130</v>
      </c>
      <c r="O22" s="210">
        <f t="shared" si="39"/>
        <v>0.85944279883329133</v>
      </c>
      <c r="P22" s="208">
        <f t="shared" si="40"/>
        <v>5.3290322580645162</v>
      </c>
      <c r="Q22" s="197">
        <f>COUNTIFS('Daily KPI'!$D:$D,D22,'Daily KPI'!$K:$K,"&gt;0")</f>
        <v>0</v>
      </c>
      <c r="R22" s="209">
        <f t="shared" si="41"/>
        <v>0</v>
      </c>
      <c r="S22" s="209">
        <f>SUMIF($F$2:F22,F22,$R$2:R22)</f>
        <v>690.80322580645156</v>
      </c>
      <c r="T22" s="208">
        <f t="shared" si="42"/>
        <v>595.39979186270205</v>
      </c>
      <c r="U22" s="209">
        <f t="shared" si="43"/>
        <v>0</v>
      </c>
      <c r="V22" s="209">
        <f>SUMIF($F$2:F22,F22,$U$2:U22)</f>
        <v>72639.788591487115</v>
      </c>
      <c r="W22" s="210">
        <f t="shared" si="44"/>
        <v>0.19083326662266092</v>
      </c>
      <c r="X22" s="210" t="str">
        <f t="shared" si="8"/>
        <v/>
      </c>
      <c r="Y22" s="210">
        <f t="shared" si="45"/>
        <v>0.19241308696621931</v>
      </c>
      <c r="Z22" s="208">
        <f>IFERROR(AVERAGEIF('Daily KPI'!D:D,Table14[[#This Row],[Month]],'Daily KPI'!AB:AB),0)</f>
        <v>0</v>
      </c>
      <c r="AA22" s="201">
        <f>IFERROR(AVERAGEIF($F$2:F22,F22,$Z$2:Z22),"")</f>
        <v>51.647333333333329</v>
      </c>
      <c r="AB22" s="209"/>
      <c r="AC22" s="208"/>
      <c r="AD22" s="208"/>
      <c r="AE22" s="204">
        <v>0.995</v>
      </c>
      <c r="AF22" s="204">
        <v>0.995</v>
      </c>
      <c r="AG22" s="210"/>
      <c r="AH22" s="210"/>
      <c r="AI22" s="210"/>
      <c r="AJ22" s="210"/>
      <c r="AK22" s="210"/>
      <c r="AL22" s="210"/>
      <c r="AM22" s="226">
        <f>SUMIF('Daily KPI'!$D:$D,$D22,'Daily KPI'!AS:AS)</f>
        <v>0</v>
      </c>
      <c r="AN22" s="226">
        <f>SUMIF($F$2:F22,F22,$AM$2:AM22)</f>
        <v>64504839.82389167</v>
      </c>
    </row>
    <row r="23" spans="1:40">
      <c r="A23" s="197">
        <f t="shared" si="10"/>
        <v>22</v>
      </c>
      <c r="B23" s="205" t="str">
        <f t="shared" si="18"/>
        <v>January</v>
      </c>
      <c r="C23" s="197">
        <f t="shared" si="35"/>
        <v>3</v>
      </c>
      <c r="D23" s="205">
        <v>46023</v>
      </c>
      <c r="E23" s="206">
        <f t="shared" si="36"/>
        <v>2026</v>
      </c>
      <c r="F23" s="249" t="s">
        <v>1241</v>
      </c>
      <c r="G23" s="197">
        <f t="shared" si="37"/>
        <v>31</v>
      </c>
      <c r="H23" s="207">
        <f t="shared" ref="H23:I23" si="48">H11</f>
        <v>147.30000000000001</v>
      </c>
      <c r="I23" s="207">
        <f t="shared" si="48"/>
        <v>171</v>
      </c>
      <c r="J23" s="208"/>
      <c r="K23" s="207"/>
      <c r="L23" s="197"/>
      <c r="M23" s="209">
        <v>19032.124258899839</v>
      </c>
      <c r="N23" s="203">
        <v>130</v>
      </c>
      <c r="O23" s="210">
        <f t="shared" si="39"/>
        <v>0.85614594057129279</v>
      </c>
      <c r="P23" s="208">
        <f t="shared" si="40"/>
        <v>5.5161290322580649</v>
      </c>
      <c r="Q23" s="197">
        <f>COUNTIFS('Daily KPI'!$D:$D,D23,'Daily KPI'!$K:$K,"&gt;0")</f>
        <v>0</v>
      </c>
      <c r="R23" s="209">
        <f t="shared" si="41"/>
        <v>0</v>
      </c>
      <c r="S23" s="209">
        <f>SUMIF($F$2:F23,F23,$R$2:R23)</f>
        <v>690.80322580645156</v>
      </c>
      <c r="T23" s="208">
        <f t="shared" si="42"/>
        <v>613.9394922225755</v>
      </c>
      <c r="U23" s="209">
        <f t="shared" si="43"/>
        <v>0</v>
      </c>
      <c r="V23" s="209">
        <f>SUMIF($F$2:F23,F23,$U$2:U23)</f>
        <v>72639.788591487115</v>
      </c>
      <c r="W23" s="210">
        <f t="shared" si="44"/>
        <v>0.19677547827646649</v>
      </c>
      <c r="X23" s="210" t="str">
        <f t="shared" si="8"/>
        <v/>
      </c>
      <c r="Y23" s="210">
        <f t="shared" si="45"/>
        <v>0.19241308696621931</v>
      </c>
      <c r="Z23" s="208">
        <f>IFERROR(AVERAGEIF('Daily KPI'!D:D,Table14[[#This Row],[Month]],'Daily KPI'!AB:AB),0)</f>
        <v>0</v>
      </c>
      <c r="AA23" s="201">
        <f>IFERROR(AVERAGEIF($F$2:F23,F23,$Z$2:Z23),"")</f>
        <v>46.482599999999998</v>
      </c>
      <c r="AB23" s="209"/>
      <c r="AC23" s="208"/>
      <c r="AD23" s="208"/>
      <c r="AE23" s="204">
        <v>0.995</v>
      </c>
      <c r="AF23" s="204">
        <v>0.995</v>
      </c>
      <c r="AG23" s="210"/>
      <c r="AH23" s="210"/>
      <c r="AI23" s="210"/>
      <c r="AJ23" s="210"/>
      <c r="AK23" s="210"/>
      <c r="AL23" s="210"/>
      <c r="AM23" s="226">
        <f>SUMIF('Daily KPI'!$D:$D,$D23,'Daily KPI'!AS:AS)</f>
        <v>0</v>
      </c>
      <c r="AN23" s="226">
        <f>SUMIF($F$2:F23,F23,$AM$2:AM23)</f>
        <v>64504839.82389167</v>
      </c>
    </row>
    <row r="24" spans="1:40">
      <c r="A24" s="197">
        <f t="shared" si="10"/>
        <v>23</v>
      </c>
      <c r="B24" s="205" t="str">
        <f t="shared" si="18"/>
        <v>February</v>
      </c>
      <c r="C24" s="197">
        <f t="shared" si="35"/>
        <v>4</v>
      </c>
      <c r="D24" s="205">
        <v>46054</v>
      </c>
      <c r="E24" s="206">
        <f t="shared" si="36"/>
        <v>2026</v>
      </c>
      <c r="F24" s="249" t="s">
        <v>1241</v>
      </c>
      <c r="G24" s="197">
        <f t="shared" si="37"/>
        <v>28</v>
      </c>
      <c r="H24" s="207">
        <f t="shared" ref="H24:I24" si="49">H12</f>
        <v>157.69999999999999</v>
      </c>
      <c r="I24" s="207">
        <f t="shared" si="49"/>
        <v>176.7</v>
      </c>
      <c r="J24" s="208"/>
      <c r="K24" s="207"/>
      <c r="L24" s="197"/>
      <c r="M24" s="209">
        <v>19102.934485482692</v>
      </c>
      <c r="N24" s="203">
        <v>130</v>
      </c>
      <c r="O24" s="210">
        <f t="shared" si="39"/>
        <v>0.8316109218354748</v>
      </c>
      <c r="P24" s="208">
        <f t="shared" si="40"/>
        <v>6.3107142857142851</v>
      </c>
      <c r="Q24" s="197">
        <f>COUNTIFS('Daily KPI'!$D:$D,D24,'Daily KPI'!$K:$K,"&gt;0")</f>
        <v>0</v>
      </c>
      <c r="R24" s="209">
        <f t="shared" si="41"/>
        <v>0</v>
      </c>
      <c r="S24" s="209">
        <f>SUMIF($F$2:F24,F24,$R$2:R24)</f>
        <v>690.80322580645156</v>
      </c>
      <c r="T24" s="208">
        <f t="shared" si="42"/>
        <v>682.24766019581045</v>
      </c>
      <c r="U24" s="209">
        <f t="shared" si="43"/>
        <v>0</v>
      </c>
      <c r="V24" s="209">
        <f>SUMIF($F$2:F24,F24,$U$2:U24)</f>
        <v>72639.788591487115</v>
      </c>
      <c r="W24" s="210">
        <f t="shared" si="44"/>
        <v>0.21866912185763154</v>
      </c>
      <c r="X24" s="210" t="str">
        <f t="shared" si="8"/>
        <v/>
      </c>
      <c r="Y24" s="210">
        <f t="shared" si="45"/>
        <v>0.19241308696621931</v>
      </c>
      <c r="Z24" s="208">
        <f>IFERROR(AVERAGEIF('Daily KPI'!D:D,Table14[[#This Row],[Month]],'Daily KPI'!AB:AB),0)</f>
        <v>0</v>
      </c>
      <c r="AA24" s="201">
        <f>IFERROR(AVERAGEIF($F$2:F24,F24,$Z$2:Z24),"")</f>
        <v>42.25690909090909</v>
      </c>
      <c r="AB24" s="209"/>
      <c r="AC24" s="208"/>
      <c r="AD24" s="208"/>
      <c r="AE24" s="204">
        <v>0.995</v>
      </c>
      <c r="AF24" s="204">
        <v>0.995</v>
      </c>
      <c r="AG24" s="210"/>
      <c r="AH24" s="210"/>
      <c r="AI24" s="210"/>
      <c r="AJ24" s="210"/>
      <c r="AK24" s="210"/>
      <c r="AL24" s="210"/>
      <c r="AM24" s="226">
        <f>SUMIF('Daily KPI'!$D:$D,$D24,'Daily KPI'!AS:AS)</f>
        <v>0</v>
      </c>
      <c r="AN24" s="226">
        <f>SUMIF($F$2:F24,F24,$AM$2:AM24)</f>
        <v>64504839.82389167</v>
      </c>
    </row>
    <row r="25" spans="1:40">
      <c r="A25" s="197">
        <f t="shared" si="10"/>
        <v>24</v>
      </c>
      <c r="B25" s="205" t="str">
        <f t="shared" si="18"/>
        <v>March</v>
      </c>
      <c r="C25" s="197">
        <f t="shared" si="35"/>
        <v>5</v>
      </c>
      <c r="D25" s="205">
        <v>46082</v>
      </c>
      <c r="E25" s="206">
        <f t="shared" si="36"/>
        <v>2026</v>
      </c>
      <c r="F25" s="249" t="s">
        <v>1241</v>
      </c>
      <c r="G25" s="197">
        <f t="shared" si="37"/>
        <v>31</v>
      </c>
      <c r="H25" s="207">
        <f t="shared" ref="H25:I25" si="50">H13</f>
        <v>201.5</v>
      </c>
      <c r="I25" s="207">
        <f t="shared" si="50"/>
        <v>214.6</v>
      </c>
      <c r="J25" s="208"/>
      <c r="K25" s="207"/>
      <c r="L25" s="197"/>
      <c r="M25" s="209">
        <v>22483.298594922213</v>
      </c>
      <c r="N25" s="203">
        <v>130</v>
      </c>
      <c r="O25" s="210">
        <f t="shared" si="39"/>
        <v>0.80591076761496216</v>
      </c>
      <c r="P25" s="208">
        <f t="shared" si="40"/>
        <v>6.9225806451612906</v>
      </c>
      <c r="Q25" s="197">
        <f>COUNTIFS('Daily KPI'!$D:$D,D25,'Daily KPI'!$K:$K,"&gt;0")</f>
        <v>0</v>
      </c>
      <c r="R25" s="209">
        <f t="shared" si="41"/>
        <v>0</v>
      </c>
      <c r="S25" s="209">
        <f>SUMIF($F$2:F25,F25,$R$2:R25)</f>
        <v>690.80322580645156</v>
      </c>
      <c r="T25" s="208">
        <f t="shared" si="42"/>
        <v>725.26769661039395</v>
      </c>
      <c r="U25" s="209">
        <f t="shared" si="43"/>
        <v>0</v>
      </c>
      <c r="V25" s="209">
        <f>SUMIF($F$2:F25,F25,$U$2:U25)</f>
        <v>72639.788591487115</v>
      </c>
      <c r="W25" s="210">
        <f t="shared" si="44"/>
        <v>0.23245759506743396</v>
      </c>
      <c r="X25" s="210" t="str">
        <f t="shared" si="8"/>
        <v/>
      </c>
      <c r="Y25" s="210">
        <f t="shared" si="45"/>
        <v>0.19241308696621931</v>
      </c>
      <c r="Z25" s="208">
        <f>IFERROR(AVERAGEIF('Daily KPI'!D:D,Table14[[#This Row],[Month]],'Daily KPI'!AB:AB),0)</f>
        <v>0</v>
      </c>
      <c r="AA25" s="201">
        <f>IFERROR(AVERAGEIF($F$2:F25,F25,$Z$2:Z25),"")</f>
        <v>38.735499999999995</v>
      </c>
      <c r="AB25" s="209"/>
      <c r="AC25" s="208"/>
      <c r="AD25" s="208"/>
      <c r="AE25" s="204">
        <v>0.995</v>
      </c>
      <c r="AF25" s="204">
        <v>0.995</v>
      </c>
      <c r="AG25" s="210"/>
      <c r="AH25" s="210"/>
      <c r="AI25" s="210"/>
      <c r="AJ25" s="210"/>
      <c r="AK25" s="210"/>
      <c r="AL25" s="210"/>
      <c r="AM25" s="226">
        <f>SUMIF('Daily KPI'!$D:$D,$D25,'Daily KPI'!AS:AS)</f>
        <v>0</v>
      </c>
      <c r="AN25" s="226">
        <f>SUMIF($F$2:F25,F25,$AM$2:AM25)</f>
        <v>64504839.82389167</v>
      </c>
    </row>
    <row r="26" spans="1:40">
      <c r="A26" s="197"/>
      <c r="B26" s="211"/>
      <c r="C26" s="197"/>
      <c r="D26" s="211"/>
      <c r="E26" s="197"/>
      <c r="F26" s="197"/>
      <c r="G26" s="197"/>
      <c r="H26" s="207"/>
      <c r="I26" s="207"/>
      <c r="J26" s="208"/>
      <c r="K26" s="207"/>
      <c r="L26" s="197"/>
      <c r="M26" s="209"/>
      <c r="N26" s="209"/>
      <c r="O26" s="212"/>
      <c r="P26" s="208"/>
      <c r="Q26" s="197"/>
      <c r="R26" s="209"/>
      <c r="S26" s="209"/>
      <c r="T26" s="208"/>
      <c r="U26" s="209"/>
      <c r="V26" s="209"/>
      <c r="W26" s="212"/>
      <c r="X26" s="212"/>
      <c r="Y26" s="212"/>
      <c r="Z26" s="208"/>
      <c r="AA26" s="207"/>
      <c r="AB26" s="209"/>
      <c r="AC26" s="208"/>
      <c r="AD26" s="208"/>
      <c r="AE26" s="212"/>
      <c r="AF26" s="212"/>
      <c r="AG26" s="212"/>
      <c r="AH26" s="212"/>
      <c r="AI26" s="212"/>
      <c r="AJ26" s="212"/>
      <c r="AK26" s="212"/>
      <c r="AL26" s="212"/>
      <c r="AM26" s="248"/>
      <c r="AN26" s="248"/>
    </row>
    <row r="27" spans="1:40">
      <c r="AM27" s="227"/>
      <c r="AN27" s="227"/>
    </row>
    <row r="28" spans="1:40">
      <c r="AM28" s="227"/>
      <c r="AN28" s="227"/>
    </row>
    <row r="29" spans="1:40">
      <c r="AM29" s="227"/>
      <c r="AN29" s="227"/>
    </row>
    <row r="30" spans="1:40">
      <c r="AM30" s="227"/>
      <c r="AN30" s="227"/>
    </row>
    <row r="31" spans="1:40">
      <c r="AM31" s="227"/>
      <c r="AN31" s="227"/>
    </row>
    <row r="32" spans="1:40">
      <c r="AM32" s="227"/>
      <c r="AN32" s="227"/>
    </row>
    <row r="33" spans="39:40">
      <c r="AM33" s="227"/>
      <c r="AN33" s="227"/>
    </row>
    <row r="34" spans="39:40">
      <c r="AM34" s="227"/>
      <c r="AN34" s="227"/>
    </row>
    <row r="35" spans="39:40">
      <c r="AM35" s="227"/>
      <c r="AN35" s="227"/>
    </row>
    <row r="36" spans="39:40">
      <c r="AM36" s="227"/>
      <c r="AN36" s="227"/>
    </row>
    <row r="37" spans="39:40">
      <c r="AM37" s="227"/>
      <c r="AN37" s="227"/>
    </row>
  </sheetData>
  <phoneticPr fontId="102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Admin</cp:lastModifiedBy>
  <cp:revision/>
  <dcterms:created xsi:type="dcterms:W3CDTF">2022-12-28T09:03:00Z</dcterms:created>
  <dcterms:modified xsi:type="dcterms:W3CDTF">2025-07-31T02:13:36Z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